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Julio 2020\"/>
    </mc:Choice>
  </mc:AlternateContent>
  <xr:revisionPtr revIDLastSave="0" documentId="13_ncr:1_{0578B16F-CCFB-4133-B8D8-1C370702B199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r:id="rId9"/>
    <sheet name="NOMINA CASA CULTURA" sheetId="12" r:id="rId10"/>
    <sheet name="Hoja1" sheetId="15" state="hidden" r:id="rId11"/>
    <sheet name="TOTAL DE PAGOS 2DAQUIN.OCTUBRE" sheetId="13" state="hidden" r:id="rId12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QUINCENAL'!$B$2:$L$71</definedName>
    <definedName name="_xlnm.Print_Area" localSheetId="6">'NOMINA PENSIONADOS'!$B$2:$L$21</definedName>
    <definedName name="_xlnm.Print_Area" localSheetId="4">'NOMINA TRAB.EVENTUALES'!$A$2:$S$40</definedName>
    <definedName name="_xlnm.Print_Area" localSheetId="8">'PAGO TRAB.MENSUALES'!$C$2:$K$34</definedName>
    <definedName name="_xlnm.Print_Area" localSheetId="3">'P-CIVIL'!$A$1:$Q$33</definedName>
    <definedName name="_xlnm.Print_Area" localSheetId="0">REGIDORES!$B$2:$M$24</definedName>
    <definedName name="_xlnm.Print_Area" localSheetId="2">'SEGU-PBCA'!$B$2:$Q$46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4" l="1"/>
  <c r="L27" i="4"/>
  <c r="M28" i="4"/>
  <c r="N28" i="4"/>
  <c r="J61" i="14"/>
  <c r="G13" i="5" l="1"/>
  <c r="L24" i="13" l="1"/>
  <c r="B15" i="13"/>
  <c r="B10" i="13"/>
  <c r="B11" i="13"/>
  <c r="K15" i="14" l="1"/>
  <c r="O35" i="6"/>
  <c r="P35" i="6" s="1"/>
  <c r="O27" i="4" l="1"/>
  <c r="K60" i="14" l="1"/>
  <c r="O34" i="6" l="1"/>
  <c r="P34" i="6" s="1"/>
  <c r="H15" i="12" l="1"/>
  <c r="K59" i="14"/>
  <c r="J31" i="8" l="1"/>
  <c r="J28" i="8"/>
  <c r="J18" i="8"/>
  <c r="O33" i="6"/>
  <c r="P33" i="6" s="1"/>
  <c r="J33" i="8" l="1"/>
  <c r="C14" i="13" s="1"/>
  <c r="B14" i="13" s="1"/>
  <c r="K58" i="14"/>
  <c r="K57" i="14" l="1"/>
  <c r="K56" i="14"/>
  <c r="O32" i="6"/>
  <c r="P32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1" i="6" l="1"/>
  <c r="P27" i="6" l="1"/>
  <c r="K54" i="1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30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7" i="14"/>
  <c r="I67" i="14" s="1"/>
  <c r="H66" i="14"/>
  <c r="I66" i="14" s="1"/>
  <c r="H65" i="14"/>
  <c r="I65" i="14" s="1"/>
  <c r="H64" i="14"/>
  <c r="I64" i="14" s="1"/>
  <c r="H63" i="14"/>
  <c r="I63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H42" i="14"/>
  <c r="I42" i="14" s="1"/>
  <c r="H41" i="14"/>
  <c r="I41" i="14" s="1"/>
  <c r="H40" i="14"/>
  <c r="H39" i="14"/>
  <c r="I39" i="14" s="1"/>
  <c r="H38" i="14"/>
  <c r="I38" i="14" s="1"/>
  <c r="H37" i="14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G14" i="11"/>
  <c r="K14" i="11" s="1"/>
  <c r="D14" i="1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K33" i="3"/>
  <c r="M33" i="3" s="1"/>
  <c r="J33" i="3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M27" i="3" s="1"/>
  <c r="J26" i="3"/>
  <c r="K26" i="3" s="1"/>
  <c r="M26" i="3" s="1"/>
  <c r="K25" i="3"/>
  <c r="M25" i="3" s="1"/>
  <c r="J25" i="3"/>
  <c r="J24" i="3"/>
  <c r="K24" i="3" s="1"/>
  <c r="M24" i="3" s="1"/>
  <c r="J23" i="3"/>
  <c r="K23" i="3" s="1"/>
  <c r="M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M17" i="3" s="1"/>
  <c r="K16" i="3"/>
  <c r="K15" i="3"/>
  <c r="M15" i="3" s="1"/>
  <c r="M22" i="3"/>
  <c r="J14" i="3"/>
  <c r="K14" i="3" s="1"/>
  <c r="M14" i="3" s="1"/>
  <c r="J13" i="3"/>
  <c r="K13" i="3" s="1"/>
  <c r="M13" i="3" s="1"/>
  <c r="J12" i="3"/>
  <c r="K12" i="3" s="1"/>
  <c r="M12" i="3" s="1"/>
  <c r="K11" i="3"/>
  <c r="M11" i="3" s="1"/>
  <c r="J11" i="3"/>
  <c r="H25" i="4"/>
  <c r="J25" i="4" s="1"/>
  <c r="L25" i="4" s="1"/>
  <c r="H24" i="4"/>
  <c r="J24" i="4" s="1"/>
  <c r="L24" i="4" s="1"/>
  <c r="H23" i="4"/>
  <c r="J23" i="4" s="1"/>
  <c r="L23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H21" i="4"/>
  <c r="J21" i="4" s="1"/>
  <c r="H22" i="4"/>
  <c r="J22" i="4" s="1"/>
  <c r="L22" i="4" s="1"/>
  <c r="H14" i="4"/>
  <c r="J14" i="4" s="1"/>
  <c r="J13" i="4"/>
  <c r="H12" i="4"/>
  <c r="J12" i="4" s="1"/>
  <c r="G36" i="6"/>
  <c r="I36" i="6" s="1"/>
  <c r="G30" i="6"/>
  <c r="I30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F8" i="2"/>
  <c r="E17" i="2"/>
  <c r="F17" i="2" s="1"/>
  <c r="E13" i="2"/>
  <c r="F13" i="2" s="1"/>
  <c r="E12" i="2"/>
  <c r="F12" i="2" s="1"/>
  <c r="E8" i="2"/>
  <c r="E7" i="2"/>
  <c r="F7" i="2" s="1"/>
  <c r="E190" i="2"/>
  <c r="F190" i="2" s="1"/>
  <c r="I61" i="14" l="1"/>
  <c r="J28" i="4"/>
  <c r="L185" i="2"/>
  <c r="H185" i="2"/>
  <c r="E185" i="2"/>
  <c r="F179" i="2"/>
  <c r="H179" i="2" s="1"/>
  <c r="E179" i="2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H154" i="2"/>
  <c r="F154" i="2"/>
  <c r="E142" i="2"/>
  <c r="F142" i="2" s="1"/>
  <c r="F141" i="2"/>
  <c r="E141" i="2"/>
  <c r="E140" i="2"/>
  <c r="F140" i="2" s="1"/>
  <c r="F139" i="2"/>
  <c r="E139" i="2"/>
  <c r="E138" i="2"/>
  <c r="F138" i="2" s="1"/>
  <c r="F137" i="2"/>
  <c r="E137" i="2"/>
  <c r="E136" i="2"/>
  <c r="F136" i="2" s="1"/>
  <c r="F135" i="2"/>
  <c r="E135" i="2"/>
  <c r="E134" i="2"/>
  <c r="F134" i="2" s="1"/>
  <c r="H134" i="2" s="1"/>
  <c r="F122" i="2"/>
  <c r="H122" i="2" s="1"/>
  <c r="E121" i="2"/>
  <c r="F121" i="2" s="1"/>
  <c r="H116" i="2"/>
  <c r="E116" i="2"/>
  <c r="F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F87" i="2"/>
  <c r="H87" i="2" s="1"/>
  <c r="E87" i="2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F68" i="2"/>
  <c r="H68" i="2" s="1"/>
  <c r="E68" i="2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F38" i="2"/>
  <c r="H38" i="2" s="1"/>
  <c r="E38" i="2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l="1"/>
  <c r="B44" i="14" s="1"/>
  <c r="B45" i="14" s="1"/>
  <c r="B46" i="14" s="1"/>
  <c r="B47" i="14" s="1"/>
  <c r="B50" i="14" s="1"/>
  <c r="B51" i="14" s="1"/>
  <c r="K53" i="14"/>
  <c r="M185" i="2" l="1"/>
  <c r="M61" i="2"/>
  <c r="J123" i="2"/>
  <c r="H17" i="13" l="1"/>
  <c r="H18" i="13" s="1"/>
  <c r="O30" i="6" l="1"/>
  <c r="K30" i="6"/>
  <c r="P30" i="6" l="1"/>
  <c r="J15" i="12"/>
  <c r="M15" i="12"/>
  <c r="O35" i="3" l="1"/>
  <c r="K50" i="14" l="1"/>
  <c r="J68" i="14" l="1"/>
  <c r="J70" i="14" s="1"/>
  <c r="K123" i="2" l="1"/>
  <c r="F123" i="2"/>
  <c r="H121" i="2"/>
  <c r="L121" i="2"/>
  <c r="H123" i="2" l="1"/>
  <c r="M121" i="2"/>
  <c r="K64" i="14" l="1"/>
  <c r="K65" i="14"/>
  <c r="K66" i="14"/>
  <c r="K67" i="14"/>
  <c r="K63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8" i="14"/>
  <c r="I70" i="14" s="1"/>
  <c r="C13" i="13" s="1"/>
  <c r="B13" i="13" s="1"/>
  <c r="K61" i="14" l="1"/>
  <c r="K68" i="14"/>
  <c r="K75" i="14"/>
  <c r="K70" i="14" l="1"/>
  <c r="N37" i="6"/>
  <c r="O29" i="6" l="1"/>
  <c r="K29" i="6"/>
  <c r="P29" i="6" l="1"/>
  <c r="K76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7" i="6"/>
  <c r="L37" i="6"/>
  <c r="L14" i="12" l="1"/>
  <c r="N14" i="12" s="1"/>
  <c r="E13" i="13" l="1"/>
  <c r="F14" i="13"/>
  <c r="K63" i="2" l="1"/>
  <c r="K70" i="2"/>
  <c r="K180" i="2"/>
  <c r="K186" i="2"/>
  <c r="K35" i="3" l="1"/>
  <c r="M35" i="3"/>
  <c r="C12" i="13" s="1"/>
  <c r="B12" i="13" s="1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C8" i="13" s="1"/>
  <c r="B8" i="13" s="1"/>
  <c r="L7" i="12"/>
  <c r="L15" i="12" s="1"/>
  <c r="C17" i="13" s="1"/>
  <c r="B17" i="13" s="1"/>
  <c r="K12" i="6"/>
  <c r="Q17" i="3"/>
  <c r="R17" i="3" s="1"/>
  <c r="L44" i="2"/>
  <c r="M44" i="2" s="1"/>
  <c r="K199" i="2" l="1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F186" i="2"/>
  <c r="F47" i="2"/>
  <c r="F24" i="2"/>
  <c r="F9" i="2"/>
  <c r="F18" i="2"/>
  <c r="F63" i="2" l="1"/>
  <c r="M186" i="2"/>
  <c r="P186" i="2" l="1"/>
  <c r="E8" i="13"/>
  <c r="O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3" i="14" s="1"/>
  <c r="G13" i="14" s="1"/>
  <c r="G14" i="14" s="1"/>
  <c r="G15" i="14" s="1"/>
  <c r="G16" i="14" s="1"/>
  <c r="G17" i="14" s="1"/>
  <c r="G64" i="14" s="1"/>
  <c r="G65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6" i="14" s="1"/>
  <c r="G38" i="14" s="1"/>
  <c r="G39" i="14" s="1"/>
  <c r="G40" i="14" s="1"/>
  <c r="G41" i="14" s="1"/>
  <c r="G42" i="14" s="1"/>
  <c r="G43" i="14" s="1"/>
  <c r="G45" i="14" s="1"/>
  <c r="F17" i="13"/>
  <c r="F18" i="13" s="1"/>
  <c r="G67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C12" i="9"/>
  <c r="G15" i="13" l="1"/>
  <c r="O27" i="6"/>
  <c r="K27" i="6"/>
  <c r="K26" i="6"/>
  <c r="P26" i="6" s="1"/>
  <c r="G18" i="13" l="1"/>
  <c r="O24" i="6"/>
  <c r="K24" i="6"/>
  <c r="P24" i="6" l="1"/>
  <c r="S30" i="5" l="1"/>
  <c r="J37" i="6" l="1"/>
  <c r="O28" i="6"/>
  <c r="O36" i="6"/>
  <c r="K36" i="6"/>
  <c r="P36" i="6" s="1"/>
  <c r="O23" i="4" l="1"/>
  <c r="O24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L28" i="4" l="1"/>
  <c r="O28" i="4"/>
  <c r="P35" i="4" s="1"/>
  <c r="P21" i="4"/>
  <c r="P13" i="6"/>
  <c r="P12" i="4"/>
  <c r="K18" i="5"/>
  <c r="L27" i="5" s="1"/>
  <c r="L28" i="5" s="1"/>
  <c r="P13" i="4"/>
  <c r="P15" i="4"/>
  <c r="P17" i="4"/>
  <c r="P19" i="4"/>
  <c r="O37" i="6"/>
  <c r="P16" i="6"/>
  <c r="P18" i="6"/>
  <c r="M122" i="2"/>
  <c r="M123" i="2" s="1"/>
  <c r="L123" i="2"/>
  <c r="P14" i="4"/>
  <c r="P16" i="4"/>
  <c r="P18" i="4"/>
  <c r="P20" i="4"/>
  <c r="P22" i="4"/>
  <c r="P28" i="4" s="1"/>
  <c r="P36" i="4" s="1"/>
  <c r="Q35" i="3"/>
  <c r="R44" i="3" s="1"/>
  <c r="L63" i="2"/>
  <c r="M63" i="2"/>
  <c r="L117" i="2"/>
  <c r="M112" i="2"/>
  <c r="L70" i="2"/>
  <c r="K37" i="6"/>
  <c r="M53" i="2"/>
  <c r="P12" i="6"/>
  <c r="P14" i="6"/>
  <c r="P20" i="6"/>
  <c r="P15" i="6"/>
  <c r="P2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137" i="2" l="1"/>
  <c r="P37" i="6"/>
  <c r="F199" i="2"/>
  <c r="E11" i="13"/>
  <c r="M24" i="2"/>
  <c r="O63" i="2"/>
  <c r="E12" i="13"/>
  <c r="R45" i="3"/>
  <c r="G199" i="2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C9" i="13" s="1"/>
  <c r="B9" i="13" s="1"/>
  <c r="B18" i="13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E10" i="13"/>
  <c r="E23" i="13" s="1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C18" i="13" s="1"/>
  <c r="P104" i="2"/>
  <c r="P14" i="2"/>
  <c r="P47" i="2"/>
  <c r="I143" i="2"/>
  <c r="I199" i="2" l="1"/>
  <c r="M208" i="2" s="1"/>
  <c r="O143" i="2"/>
  <c r="O208" i="2" s="1"/>
  <c r="E9" i="13"/>
  <c r="E22" i="13" s="1"/>
  <c r="E24" i="13" l="1"/>
  <c r="P143" i="2"/>
  <c r="M209" i="2"/>
  <c r="M210" i="2" s="1"/>
  <c r="E18" i="13"/>
  <c r="F20" i="13" s="1"/>
  <c r="M37" i="6" l="1"/>
  <c r="P53" i="6" s="1"/>
  <c r="P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<sst xmlns="http://schemas.openxmlformats.org/spreadsheetml/2006/main" count="1302" uniqueCount="808">
  <si>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</si>
  <si>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</si>
  <si>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</si>
  <si>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</si>
  <si>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</si>
  <si>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</si>
  <si>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</si>
  <si>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</si>
  <si>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</si>
  <si>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</si>
  <si>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</si>
  <si>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</si>
  <si>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</si>
  <si>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</si>
  <si>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</si>
  <si>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</si>
  <si>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</si>
  <si>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</si>
  <si>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</si>
  <si>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</si>
  <si>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</si>
  <si>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</si>
  <si>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</si>
  <si>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</si>
  <si>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</si>
  <si>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</si>
  <si>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</si>
  <si>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</si>
  <si>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</si>
  <si>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</si>
  <si>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</si>
  <si>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</si>
  <si>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</si>
  <si>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</si>
  <si>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</si>
  <si>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</si>
  <si>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</si>
  <si>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</si>
  <si>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</si>
  <si>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</si>
  <si>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</si>
  <si>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</si>
  <si>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</si>
  <si>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</si>
  <si>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</si>
  <si>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</si>
  <si>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</si>
  <si>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</si>
  <si>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</si>
  <si>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</si>
  <si>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</si>
  <si>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</si>
  <si>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</si>
  <si>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</si>
  <si>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</si>
  <si>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</si>
  <si>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</si>
  <si>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</si>
  <si>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</si>
  <si>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</si>
  <si>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</si>
  <si>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</si>
  <si>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</si>
  <si>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</si>
  <si>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</si>
  <si>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</si>
  <si>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</si>
  <si>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</si>
  <si>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</si>
  <si>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</si>
  <si>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</si>
  <si>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</si>
  <si>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</si>
  <si>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</si>
  <si>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</si>
  <si>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</si>
  <si>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</si>
  <si>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</si>
  <si>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</si>
  <si>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</si>
  <si>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</si>
  <si>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</si>
  <si>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</si>
  <si>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</si>
  <si>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</si>
  <si>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</si>
  <si>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</si>
  <si>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</si>
  <si>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</si>
  <si>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</si>
  <si>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</si>
  <si>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</si>
  <si>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</si>
  <si>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</si>
  <si>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</si>
  <si>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</si>
  <si>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</si>
  <si>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</si>
  <si>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</si>
  <si>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</si>
  <si>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</si>
  <si>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</si>
  <si>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</si>
  <si>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</si>
  <si>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</si>
  <si>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</si>
  <si>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</si>
  <si>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</si>
  <si>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</si>
  <si>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</si>
  <si>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</si>
  <si>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</si>
  <si>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</si>
  <si>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</si>
  <si>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</si>
  <si>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</si>
  <si>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</si>
  <si>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</si>
  <si>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</si>
  <si>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</si>
  <si>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</si>
  <si>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</si>
  <si>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</si>
  <si>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</si>
  <si>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</si>
  <si>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</si>
  <si>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</si>
  <si>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</si>
  <si>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</si>
  <si>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</si>
  <si>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</si>
  <si>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</si>
  <si>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</si>
  <si>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</si>
  <si>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</si>
  <si>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</si>
  <si>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</si>
  <si>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</si>
  <si>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</si>
  <si>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</si>
  <si>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</si>
  <si>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</si>
  <si>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</si>
  <si>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</si>
  <si>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</si>
  <si>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</si>
  <si>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</si>
  <si>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</si>
  <si>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</si>
  <si>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</si>
  <si>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</si>
  <si>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</si>
  <si>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</si>
  <si>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</si>
  <si>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</si>
  <si>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</si>
  <si>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</si>
  <si>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</si>
  <si>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</si>
  <si>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</si>
  <si>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</si>
  <si>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</si>
  <si>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</si>
  <si>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</si>
  <si>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</si>
  <si>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</si>
  <si>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</si>
  <si>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</si>
  <si>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</si>
  <si>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</si>
  <si>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</si>
  <si>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</si>
  <si>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</si>
  <si>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</si>
  <si>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</si>
  <si>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</si>
  <si>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</si>
  <si>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</si>
  <si>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</si>
  <si>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</si>
  <si>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</si>
  <si>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</si>
  <si>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</si>
  <si>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</si>
  <si>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</si>
  <si>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</si>
  <si>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</si>
  <si>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</si>
  <si>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</si>
  <si>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</si>
  <si>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</si>
  <si>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</si>
  <si>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</si>
  <si>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</si>
  <si>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</si>
  <si>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</si>
  <si>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</si>
  <si>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</si>
  <si>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</si>
  <si>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</si>
  <si>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</si>
  <si>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</si>
  <si>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</si>
  <si>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</si>
  <si>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</si>
  <si>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</si>
  <si>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</si>
  <si>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</si>
  <si>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</si>
  <si>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</si>
  <si>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</si>
  <si>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</si>
  <si>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</si>
  <si>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</si>
  <si>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</si>
  <si>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</si>
  <si>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</si>
  <si>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</si>
  <si>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</si>
  <si>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</si>
  <si>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</si>
  <si>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</si>
  <si>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</si>
  <si>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</si>
  <si>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</si>
  <si>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</si>
  <si>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</si>
  <si>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</si>
  <si>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</si>
  <si>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</si>
  <si>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</si>
  <si>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</si>
  <si>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</si>
  <si>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</si>
  <si>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</si>
  <si>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</si>
  <si>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</si>
  <si>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</si>
  <si>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</si>
  <si>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</si>
  <si>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</si>
  <si>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</si>
  <si>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</si>
  <si>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</si>
  <si>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</si>
  <si>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</si>
  <si>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</si>
  <si>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</si>
  <si>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</si>
  <si>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</si>
  <si>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</si>
  <si>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</si>
  <si>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</si>
  <si>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</si>
  <si>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</si>
  <si>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</si>
  <si>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</si>
  <si>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</si>
  <si>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</si>
  <si>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</si>
  <si>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</si>
  <si>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</si>
  <si>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</si>
  <si>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</si>
  <si>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</si>
  <si>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</si>
  <si>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</si>
  <si>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</si>
  <si>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</si>
  <si>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</si>
  <si>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</si>
  <si>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</si>
  <si>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</si>
  <si>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</si>
  <si>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</si>
  <si>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</si>
  <si>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</si>
  <si>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</si>
  <si>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</si>
  <si>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</si>
  <si>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</si>
  <si>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</si>
  <si>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</si>
  <si>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</si>
  <si>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</si>
  <si>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</si>
  <si>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</si>
  <si>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</si>
  <si>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</si>
  <si>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</si>
  <si>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</si>
  <si>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</si>
  <si>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</si>
  <si>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</si>
  <si>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</si>
  <si>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</si>
  <si>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</si>
  <si>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</si>
  <si>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</si>
  <si>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</si>
  <si>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</si>
  <si>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</si>
  <si>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</si>
  <si>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</si>
  <si>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</si>
  <si>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</si>
  <si>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</si>
  <si>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</si>
  <si>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</si>
  <si>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</si>
  <si>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</si>
  <si>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</si>
  <si>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</si>
  <si>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</si>
  <si>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</si>
  <si>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</si>
  <si>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</si>
  <si>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</si>
  <si>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</si>
  <si>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</si>
  <si>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</si>
  <si>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</si>
  <si>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</si>
  <si>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</si>
  <si>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</si>
  <si>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</si>
  <si>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</si>
  <si>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</si>
  <si>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</si>
  <si>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</si>
  <si>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</si>
  <si>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</si>
  <si>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</si>
  <si>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</si>
  <si>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</si>
  <si>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</si>
  <si>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</si>
  <si>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</si>
  <si>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</si>
  <si>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</si>
  <si>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</si>
  <si>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</si>
  <si>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</si>
  <si>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</si>
  <si>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</si>
  <si>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</si>
  <si>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</si>
  <si>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</si>
  <si>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</si>
  <si>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</si>
  <si>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</si>
  <si>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</si>
  <si>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</si>
  <si>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</si>
  <si>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</si>
  <si>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</si>
  <si>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</si>
  <si>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</si>
  <si>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</si>
  <si>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</si>
  <si>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</si>
  <si>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</si>
  <si>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</si>
  <si>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</si>
  <si>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</si>
  <si>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</si>
  <si>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</si>
  <si>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</si>
  <si>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</si>
  <si>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</si>
  <si>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</si>
  <si>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</si>
  <si>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</si>
  <si>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</si>
  <si>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</si>
  <si>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</si>
  <si>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</si>
  <si>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</si>
  <si>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</si>
  <si>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</si>
  <si>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</si>
  <si>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</si>
  <si>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</si>
  <si>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</si>
  <si>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</si>
  <si>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</si>
  <si>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</si>
  <si>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</si>
  <si>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</si>
  <si>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</si>
  <si>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</si>
  <si>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</si>
  <si>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</si>
  <si>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</si>
  <si>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</si>
  <si>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</si>
  <si>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</si>
  <si>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</si>
  <si>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</si>
  <si>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</si>
  <si>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</si>
  <si>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</si>
  <si>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</si>
  <si>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</si>
  <si>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</si>
  <si>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</si>
  <si>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</si>
  <si>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</si>
  <si>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</si>
  <si>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</si>
  <si>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</si>
  <si>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</si>
  <si>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</si>
  <si>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</si>
  <si>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</si>
  <si>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</si>
  <si>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</si>
  <si>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</si>
  <si>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</si>
  <si>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</si>
  <si>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</si>
  <si>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</si>
  <si>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</si>
  <si>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</si>
  <si>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</si>
  <si>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</si>
  <si>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</si>
  <si>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</si>
  <si>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</si>
  <si>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</si>
  <si>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</si>
  <si>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</si>
  <si>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</si>
  <si>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</si>
  <si>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</si>
  <si>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</si>
  <si>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</si>
  <si>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</si>
  <si>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</si>
  <si>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</si>
  <si>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</si>
  <si>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</si>
  <si>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</si>
  <si>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</si>
  <si>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</si>
  <si>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</si>
  <si>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</si>
  <si>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</si>
  <si>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</si>
  <si>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</si>
  <si>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</si>
  <si>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</si>
  <si>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</si>
  <si>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</si>
  <si>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</si>
  <si>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</si>
  <si>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</si>
  <si>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</si>
  <si>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</si>
  <si>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</si>
  <si>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</si>
  <si>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</si>
  <si>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</si>
  <si>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</si>
  <si>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</si>
  <si>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</si>
  <si>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</si>
  <si>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</si>
  <si>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</si>
  <si>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</si>
  <si>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</si>
  <si>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</si>
  <si>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</si>
  <si>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</si>
  <si>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</si>
  <si>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</si>
  <si>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</si>
  <si>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</si>
  <si>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</si>
  <si>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</si>
  <si>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</si>
  <si>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</si>
  <si>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</si>
  <si>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</si>
  <si>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</si>
  <si>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</si>
  <si>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</si>
  <si>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</si>
  <si>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</si>
  <si>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</si>
  <si>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</si>
  <si>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</si>
  <si>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</si>
  <si>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</si>
  <si>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</si>
  <si>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</si>
  <si>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</si>
  <si>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</si>
  <si>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</si>
  <si>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</si>
  <si>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</si>
  <si>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</si>
  <si>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</si>
  <si>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</si>
  <si>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</si>
  <si>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</si>
  <si>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</si>
  <si>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</si>
  <si>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</si>
  <si>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</si>
  <si>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</si>
  <si>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</si>
  <si>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</si>
  <si>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</si>
  <si>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</si>
  <si>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</si>
  <si>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</si>
  <si>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</si>
  <si>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</si>
  <si>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</si>
  <si>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</si>
  <si>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</si>
  <si>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</si>
  <si>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</si>
  <si>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</si>
  <si>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</si>
  <si>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</si>
  <si>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</si>
  <si>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</si>
  <si>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</si>
  <si>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</si>
  <si>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</si>
  <si>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</si>
  <si>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</si>
  <si>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</si>
  <si>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</si>
  <si>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</si>
  <si>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</si>
  <si>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</si>
  <si>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</si>
  <si>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</si>
  <si>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</si>
  <si>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</si>
  <si>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</si>
  <si>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</si>
  <si>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</si>
  <si>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</si>
  <si>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</si>
  <si>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</si>
  <si>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</si>
  <si>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</si>
  <si>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</si>
  <si>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</si>
  <si>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</si>
  <si>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</si>
  <si>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</si>
  <si>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</si>
  <si>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</si>
  <si>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</si>
  <si>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</si>
  <si>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</si>
  <si>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</si>
  <si>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</si>
  <si>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</si>
  <si>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</si>
  <si>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</si>
  <si>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</si>
  <si>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</si>
  <si>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</si>
  <si>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</si>
  <si>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</si>
  <si>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</si>
  <si>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</si>
  <si>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</si>
  <si>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</si>
  <si>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</si>
  <si>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</si>
  <si>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</si>
  <si>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</si>
  <si>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</si>
  <si>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</si>
  <si>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</si>
  <si>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</si>
  <si>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</si>
  <si>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</si>
  <si>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</si>
  <si>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</si>
  <si>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</si>
  <si>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</si>
  <si>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</si>
  <si>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</si>
  <si>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</si>
  <si>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</si>
  <si>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</si>
  <si>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</si>
  <si>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</si>
  <si>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</si>
  <si>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</si>
  <si>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</si>
  <si>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</si>
  <si>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</si>
  <si>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</si>
  <si>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</si>
  <si>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</si>
  <si>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</si>
  <si>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</si>
  <si>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</si>
  <si>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</si>
  <si>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</si>
  <si>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</si>
  <si>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</si>
  <si>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</si>
  <si>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</si>
  <si>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</si>
  <si>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</si>
  <si>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</si>
  <si>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</si>
  <si>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</si>
  <si>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</si>
  <si>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</si>
  <si>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</si>
  <si>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</si>
  <si>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</si>
  <si>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</si>
  <si>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</si>
  <si>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</si>
  <si>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</si>
  <si>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</si>
  <si>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</si>
  <si>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</si>
  <si>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</si>
  <si>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</si>
  <si>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</si>
  <si>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</si>
  <si>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</si>
  <si>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</si>
  <si>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</si>
  <si>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</si>
  <si>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</si>
  <si>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</si>
  <si>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</si>
  <si>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</si>
  <si>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</si>
  <si>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</si>
  <si>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</si>
  <si>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</si>
  <si>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</si>
  <si>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</si>
  <si>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</si>
  <si>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</si>
  <si>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</si>
  <si>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</si>
  <si>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</si>
  <si>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</si>
  <si>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</si>
  <si>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</si>
  <si>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</si>
  <si>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</si>
  <si>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</si>
  <si>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</si>
  <si>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</si>
  <si>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</si>
  <si>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</si>
  <si>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</si>
  <si>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</si>
  <si>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</si>
  <si>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</si>
  <si>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</si>
  <si>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</si>
  <si>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</si>
  <si>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</si>
  <si>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</si>
  <si>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</si>
  <si>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</si>
  <si>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</si>
  <si>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</si>
  <si>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</si>
  <si>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</si>
  <si>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</si>
  <si>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</si>
  <si>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</si>
  <si>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</si>
  <si>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</si>
  <si>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</si>
  <si>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</si>
  <si>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</si>
  <si>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</si>
  <si>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</si>
  <si>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</si>
  <si>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</si>
  <si>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</si>
  <si>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</si>
  <si>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</si>
  <si>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</si>
  <si>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</si>
  <si>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</si>
  <si>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</si>
  <si>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</si>
  <si>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</si>
  <si>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</si>
  <si>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</si>
  <si>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</si>
  <si>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</si>
  <si>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</si>
  <si>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</si>
  <si>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</si>
  <si>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</si>
  <si>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</si>
  <si>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</si>
  <si>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</si>
  <si>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</si>
  <si>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</si>
  <si>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</si>
  <si>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</si>
  <si>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</si>
  <si>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</si>
  <si>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</si>
  <si>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</si>
  <si>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</si>
  <si>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</si>
  <si>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</si>
  <si>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</si>
  <si>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</si>
  <si>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</si>
  <si>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</si>
  <si>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</si>
  <si>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</si>
  <si>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</si>
  <si>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</si>
  <si>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</si>
  <si>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</si>
  <si>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</si>
  <si>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</si>
  <si>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</si>
  <si>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</si>
  <si>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</si>
  <si>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>PRIMA NOVIEMBRE Y MAYO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</si>
  <si>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</si>
  <si>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</si>
  <si>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</si>
  <si>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</si>
  <si>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</si>
  <si>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</si>
  <si>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</si>
  <si>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</si>
  <si>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</si>
  <si>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</si>
  <si>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</si>
  <si>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</si>
  <si>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</si>
  <si>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</si>
  <si>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</si>
  <si>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</si>
  <si>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</si>
  <si>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</si>
  <si>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</si>
  <si>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</si>
  <si>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</si>
  <si>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</si>
  <si>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</si>
  <si>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</si>
  <si>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</si>
  <si>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</si>
  <si>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</si>
  <si>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</si>
  <si>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</si>
  <si>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</si>
  <si>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</si>
  <si>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</si>
  <si>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</si>
  <si>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</si>
  <si>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</si>
  <si>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</si>
  <si>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</si>
  <si>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</si>
  <si>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</si>
  <si>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</si>
  <si>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H. Ayuntamiento de Hostotipaquillo Jal 2018-2021 Nomina Correspondiente al mes de Junio  2020</t>
  </si>
  <si>
    <t>ALTA EN ENERO 2020</t>
  </si>
  <si>
    <t>ALTA EN NOV 2018</t>
  </si>
  <si>
    <t>PAGO DEL MES DE JUNIO 2020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</si>
  <si>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</si>
  <si>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</si>
  <si>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</si>
  <si>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</si>
  <si>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</si>
  <si>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</si>
  <si>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</si>
  <si>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</si>
  <si>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</si>
  <si>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</si>
  <si>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</si>
  <si>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 xml:space="preserve">                DEL 01 AL 15 DE JULIO  DEL 2020</t>
  </si>
  <si>
    <t>NOMINA DE REGIDORES DEL 01 AL 15 DE JULIO DE 2020</t>
  </si>
  <si>
    <t>NOMINA PERSONAL PERMANENTE DEL 01 AL 15 DE JULIO  2020</t>
  </si>
  <si>
    <t>NOMINA PERSONAL PERMANENTE DEL 01 AL 15 JULIO 2020</t>
  </si>
  <si>
    <t>NOMINA PERSONAL PERMANENTE DEL 01 AL 15  DE JULIO DE   2020</t>
  </si>
  <si>
    <t>NOMINA PERSONAL PERMANENTE DEL 01 AL 15 DE JULIO 2020</t>
  </si>
  <si>
    <t>NOMINA PERSONAL PERMANENTE DEL 01 AL 15  DE JULIO 2020</t>
  </si>
  <si>
    <t>NOMINA  DEL 01 AL 15 DE JULIO 2020</t>
  </si>
  <si>
    <t>NOMINA DEL 01 AL 15 DE JULIO  DE 2020</t>
  </si>
  <si>
    <t>NOMINA DEL 01  AL 15 DE JULIO  DEL 2020</t>
  </si>
  <si>
    <t>NOMINA DE PENSIONADOS DEL 01 AL 15  DE JULIO   2020</t>
  </si>
  <si>
    <t>Claudia</t>
  </si>
  <si>
    <t>Alta 7 de Julio 2020</t>
  </si>
  <si>
    <t xml:space="preserve">MENSUAL </t>
  </si>
  <si>
    <t xml:space="preserve">QUINCENAL </t>
  </si>
  <si>
    <t xml:space="preserve">MA RAQUEL AMEZQUITA GARCIA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</si>
</sst>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83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0" fontId="13" fillId="17" borderId="5" xfId="0" applyFont="1" applyFill="1" applyBorder="1" applyAlignment="1">
      <alignment vertical="center"/>
    </xf>
    <xf numFmtId="0" fontId="13" fillId="17" borderId="7" xfId="0" applyFont="1" applyFill="1" applyBorder="1" applyAlignment="1">
      <alignment vertical="center"/>
    </xf>
    <xf numFmtId="0" fontId="1" fillId="17" borderId="7" xfId="0" applyFont="1" applyFill="1" applyBorder="1" applyAlignment="1">
      <alignment vertical="center"/>
    </xf>
    <xf numFmtId="43" fontId="70" fillId="17" borderId="7" xfId="1" applyFont="1" applyFill="1" applyBorder="1" applyAlignment="1">
      <alignment vertical="center"/>
    </xf>
    <xf numFmtId="0" fontId="21" fillId="17" borderId="7" xfId="0" applyFont="1" applyFill="1" applyBorder="1" applyAlignment="1">
      <alignment vertical="center"/>
    </xf>
    <xf numFmtId="44" fontId="13" fillId="17" borderId="7" xfId="2" applyFont="1" applyFill="1" applyBorder="1" applyAlignment="1">
      <alignment vertical="center"/>
    </xf>
    <xf numFmtId="44" fontId="13" fillId="17" borderId="5" xfId="2" applyFont="1" applyFill="1" applyBorder="1" applyAlignment="1">
      <alignment vertical="center"/>
    </xf>
    <xf numFmtId="44" fontId="13" fillId="17" borderId="9" xfId="2" applyFont="1" applyFill="1" applyBorder="1" applyAlignment="1">
      <alignment vertical="center"/>
    </xf>
    <xf numFmtId="2" fontId="32" fillId="17" borderId="8" xfId="0" applyNumberFormat="1" applyFont="1" applyFill="1" applyBorder="1" applyAlignment="1">
      <alignment vertical="center"/>
    </xf>
    <xf numFmtId="44" fontId="0" fillId="16" borderId="5" xfId="0" applyNumberFormat="1" applyFill="1" applyBorder="1"/>
    <xf numFmtId="44" fontId="0" fillId="6" borderId="5" xfId="0" applyNumberFormat="1" applyFill="1" applyBorder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10" workbookViewId="0">
      <selection activeCell="L22" sqref="L22:M22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96"/>
      <c r="D1" s="597"/>
      <c r="E1" s="597"/>
      <c r="F1" s="597"/>
      <c r="G1" s="597"/>
      <c r="H1" s="597"/>
      <c r="I1" s="320"/>
      <c r="J1" s="29"/>
      <c r="K1" s="29"/>
      <c r="L1" s="29"/>
      <c r="M1" s="29"/>
    </row>
    <row r="2" spans="2:20" ht="19.5">
      <c r="B2" s="598" t="s">
        <v>221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600"/>
    </row>
    <row r="3" spans="2:20">
      <c r="B3" s="601" t="s">
        <v>793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3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8" t="s">
        <v>1</v>
      </c>
      <c r="C6" s="509" t="s">
        <v>2</v>
      </c>
      <c r="D6" s="509" t="s">
        <v>3</v>
      </c>
      <c r="E6" s="509" t="s">
        <v>236</v>
      </c>
      <c r="F6" s="510" t="s">
        <v>4</v>
      </c>
      <c r="G6" s="510" t="s">
        <v>5</v>
      </c>
      <c r="H6" s="509" t="s">
        <v>48</v>
      </c>
      <c r="I6" s="509" t="s">
        <v>626</v>
      </c>
      <c r="J6" s="509" t="s">
        <v>47</v>
      </c>
      <c r="K6" s="510" t="s">
        <v>6</v>
      </c>
      <c r="L6" s="511" t="s">
        <v>7</v>
      </c>
      <c r="M6" s="512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278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279</v>
      </c>
      <c r="C9" s="3" t="s">
        <v>478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280</v>
      </c>
      <c r="C10" s="3" t="s">
        <v>597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281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282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92" t="s">
        <v>283</v>
      </c>
      <c r="C13" s="593" t="s">
        <v>807</v>
      </c>
      <c r="D13" s="594">
        <v>11894</v>
      </c>
      <c r="E13" s="594" t="s">
        <v>237</v>
      </c>
      <c r="F13" s="594">
        <v>0</v>
      </c>
      <c r="G13" s="594">
        <f>D13</f>
        <v>11894</v>
      </c>
      <c r="H13" s="594">
        <v>0</v>
      </c>
      <c r="I13" s="594"/>
      <c r="J13" s="594">
        <v>1893.83</v>
      </c>
      <c r="K13" s="594">
        <f t="shared" si="0"/>
        <v>1893.83</v>
      </c>
      <c r="L13" s="595">
        <f t="shared" si="1"/>
        <v>10000.17</v>
      </c>
      <c r="M13" s="583"/>
      <c r="N13" s="337"/>
      <c r="P13" s="170"/>
    </row>
    <row r="14" spans="2:20" ht="39.950000000000003" customHeight="1">
      <c r="B14" s="171" t="s">
        <v>284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285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286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89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287</v>
      </c>
      <c r="C17" s="3" t="s">
        <v>624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604" t="s">
        <v>465</v>
      </c>
      <c r="C22" s="604"/>
      <c r="D22" s="181"/>
      <c r="F22" s="605" t="s">
        <v>45</v>
      </c>
      <c r="G22" s="605"/>
      <c r="H22" s="605"/>
      <c r="I22" s="605"/>
      <c r="J22" s="605"/>
      <c r="L22" s="605" t="s">
        <v>637</v>
      </c>
      <c r="M22" s="605"/>
      <c r="N22" s="6"/>
      <c r="P22" s="115"/>
      <c r="Q22" s="115"/>
      <c r="S22" s="174"/>
    </row>
    <row r="23" spans="2:20">
      <c r="B23" s="605" t="s">
        <v>150</v>
      </c>
      <c r="C23" s="605"/>
      <c r="D23" s="6"/>
      <c r="F23" s="605" t="s">
        <v>449</v>
      </c>
      <c r="G23" s="605"/>
      <c r="H23" s="605"/>
      <c r="I23" s="605"/>
      <c r="J23" s="605"/>
      <c r="L23" s="605" t="s">
        <v>30</v>
      </c>
      <c r="M23" s="605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6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6">
        <f>L18-L27</f>
        <v>0</v>
      </c>
      <c r="P28" s="170"/>
    </row>
    <row r="29" spans="2:20">
      <c r="P29" s="170"/>
      <c r="S29" s="173">
        <v>128320</v>
      </c>
      <c r="T29" s="168" t="s">
        <v>274</v>
      </c>
    </row>
    <row r="30" spans="2:20">
      <c r="P30" s="179"/>
      <c r="S30" s="180">
        <f>SUM(S15:S29)</f>
        <v>806112.31</v>
      </c>
      <c r="T30" s="168" t="s">
        <v>275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H25" sqref="H25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74" t="s">
        <v>777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6"/>
    </row>
    <row r="2" spans="2:16" ht="15.75">
      <c r="B2" s="677" t="s">
        <v>426</v>
      </c>
      <c r="C2" s="677"/>
      <c r="D2" s="677"/>
      <c r="E2" s="202" t="s">
        <v>156</v>
      </c>
      <c r="F2" s="203"/>
      <c r="G2" s="203"/>
      <c r="H2" s="203"/>
      <c r="I2" s="203"/>
      <c r="J2" s="203"/>
      <c r="K2" s="204"/>
      <c r="L2" s="355"/>
      <c r="M2" s="203"/>
      <c r="N2" s="203"/>
    </row>
    <row r="3" spans="2:16" ht="15.75">
      <c r="B3" s="536" t="s">
        <v>157</v>
      </c>
      <c r="C3" s="205"/>
      <c r="D3" s="205"/>
      <c r="E3" s="205"/>
      <c r="F3" s="205"/>
      <c r="G3" s="206" t="s">
        <v>28</v>
      </c>
      <c r="H3" s="678" t="s">
        <v>60</v>
      </c>
      <c r="I3" s="679"/>
      <c r="J3" s="207"/>
      <c r="K3" s="208" t="s">
        <v>61</v>
      </c>
      <c r="L3" s="209"/>
      <c r="M3" s="346"/>
      <c r="N3" s="346"/>
    </row>
    <row r="4" spans="2:16" ht="15.75" customHeight="1">
      <c r="B4" s="537" t="s">
        <v>158</v>
      </c>
      <c r="C4" s="680" t="s">
        <v>52</v>
      </c>
      <c r="D4" s="681"/>
      <c r="E4" s="681"/>
      <c r="F4" s="210"/>
      <c r="G4" s="211"/>
      <c r="H4" s="546" t="s">
        <v>3</v>
      </c>
      <c r="I4" s="547" t="s">
        <v>159</v>
      </c>
      <c r="J4" s="548" t="s">
        <v>67</v>
      </c>
      <c r="K4" s="549" t="s">
        <v>427</v>
      </c>
      <c r="L4" s="550" t="s">
        <v>160</v>
      </c>
      <c r="M4" s="349" t="s">
        <v>665</v>
      </c>
      <c r="N4" s="347"/>
    </row>
    <row r="5" spans="2:16" ht="15.75">
      <c r="B5" s="538" t="s">
        <v>161</v>
      </c>
      <c r="C5" s="539" t="s">
        <v>53</v>
      </c>
      <c r="D5" s="540" t="s">
        <v>54</v>
      </c>
      <c r="E5" s="540" t="s">
        <v>55</v>
      </c>
      <c r="F5" s="540" t="s">
        <v>56</v>
      </c>
      <c r="G5" s="541" t="s">
        <v>57</v>
      </c>
      <c r="H5" s="542" t="s">
        <v>428</v>
      </c>
      <c r="I5" s="543" t="s">
        <v>165</v>
      </c>
      <c r="J5" s="544" t="s">
        <v>166</v>
      </c>
      <c r="K5" s="545" t="s">
        <v>428</v>
      </c>
      <c r="L5" s="540" t="s">
        <v>168</v>
      </c>
      <c r="M5" s="348" t="s">
        <v>664</v>
      </c>
      <c r="N5" s="348" t="s">
        <v>570</v>
      </c>
    </row>
    <row r="6" spans="2:16">
      <c r="B6" s="212" t="s">
        <v>429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596</v>
      </c>
      <c r="D7" s="191" t="s">
        <v>678</v>
      </c>
      <c r="E7" s="191" t="s">
        <v>679</v>
      </c>
      <c r="F7" s="305" t="s">
        <v>768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3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432</v>
      </c>
      <c r="D8" s="195" t="s">
        <v>660</v>
      </c>
      <c r="E8" s="195" t="s">
        <v>661</v>
      </c>
      <c r="F8" s="195" t="s">
        <v>430</v>
      </c>
      <c r="G8" s="195" t="s">
        <v>431</v>
      </c>
      <c r="H8" s="307">
        <v>2400</v>
      </c>
      <c r="I8" s="307">
        <v>2400</v>
      </c>
      <c r="J8" s="215">
        <v>279.14999999999998</v>
      </c>
      <c r="K8" s="307"/>
      <c r="L8" s="216">
        <f t="shared" ref="L8:L14" si="1">I8+J8</f>
        <v>2679.15</v>
      </c>
      <c r="M8" s="345"/>
      <c r="N8" s="345">
        <f t="shared" si="0"/>
        <v>2679.15</v>
      </c>
      <c r="O8" s="217"/>
      <c r="P8" s="341"/>
    </row>
    <row r="9" spans="2:16">
      <c r="B9" s="195">
        <v>3</v>
      </c>
      <c r="C9" s="195" t="s">
        <v>432</v>
      </c>
      <c r="D9" s="195" t="s">
        <v>210</v>
      </c>
      <c r="E9" s="195" t="s">
        <v>433</v>
      </c>
      <c r="F9" s="195" t="s">
        <v>434</v>
      </c>
      <c r="G9" s="195" t="s">
        <v>435</v>
      </c>
      <c r="H9" s="307">
        <v>2400</v>
      </c>
      <c r="I9" s="307">
        <v>2400</v>
      </c>
      <c r="J9" s="215">
        <v>279.14999999999998</v>
      </c>
      <c r="K9" s="307"/>
      <c r="L9" s="216">
        <f t="shared" si="1"/>
        <v>2679.15</v>
      </c>
      <c r="M9" s="345"/>
      <c r="N9" s="344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436</v>
      </c>
      <c r="E10" s="195" t="s">
        <v>437</v>
      </c>
      <c r="F10" s="359" t="s">
        <v>438</v>
      </c>
      <c r="G10" s="195"/>
      <c r="H10" s="307">
        <v>4800</v>
      </c>
      <c r="I10" s="307">
        <v>4800</v>
      </c>
      <c r="J10" s="215">
        <v>43.59</v>
      </c>
      <c r="K10" s="307"/>
      <c r="L10" s="216">
        <f t="shared" si="1"/>
        <v>4843.59</v>
      </c>
      <c r="M10" s="345"/>
      <c r="N10" s="344">
        <f t="shared" si="0"/>
        <v>4843.59</v>
      </c>
      <c r="O10" s="217"/>
    </row>
    <row r="11" spans="2:16">
      <c r="B11" s="195">
        <v>5</v>
      </c>
      <c r="C11" s="195" t="s">
        <v>439</v>
      </c>
      <c r="D11" s="195" t="s">
        <v>440</v>
      </c>
      <c r="E11" s="195" t="s">
        <v>441</v>
      </c>
      <c r="F11" s="195" t="s">
        <v>442</v>
      </c>
      <c r="G11" s="195"/>
      <c r="H11" s="307">
        <v>2400</v>
      </c>
      <c r="I11" s="307">
        <v>2400</v>
      </c>
      <c r="J11" s="215">
        <v>279.14999999999998</v>
      </c>
      <c r="K11" s="307"/>
      <c r="L11" s="216">
        <f t="shared" si="1"/>
        <v>2679.15</v>
      </c>
      <c r="M11" s="345"/>
      <c r="N11" s="344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443</v>
      </c>
      <c r="F12" s="195" t="s">
        <v>444</v>
      </c>
      <c r="G12" s="195" t="s">
        <v>445</v>
      </c>
      <c r="H12" s="307">
        <v>2400</v>
      </c>
      <c r="I12" s="307">
        <v>2400</v>
      </c>
      <c r="J12" s="215">
        <v>279.14999999999998</v>
      </c>
      <c r="K12" s="307"/>
      <c r="L12" s="216">
        <f t="shared" si="1"/>
        <v>2679.15</v>
      </c>
      <c r="M12" s="345"/>
      <c r="N12" s="344">
        <f t="shared" si="0"/>
        <v>2679.15</v>
      </c>
      <c r="O12" s="217"/>
    </row>
    <row r="13" spans="2:16" ht="24.75">
      <c r="B13" s="218">
        <v>7</v>
      </c>
      <c r="C13" s="195" t="s">
        <v>596</v>
      </c>
      <c r="D13" s="195" t="s">
        <v>678</v>
      </c>
      <c r="E13" s="195" t="s">
        <v>679</v>
      </c>
      <c r="F13" s="359" t="s">
        <v>446</v>
      </c>
      <c r="G13" s="195"/>
      <c r="H13" s="307">
        <v>2400</v>
      </c>
      <c r="I13" s="307">
        <v>2400</v>
      </c>
      <c r="J13" s="215">
        <v>279.14999999999998</v>
      </c>
      <c r="K13" s="307"/>
      <c r="L13" s="216">
        <f t="shared" si="1"/>
        <v>2679.15</v>
      </c>
      <c r="M13" s="345"/>
      <c r="N13" s="345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719</v>
      </c>
      <c r="E14" s="195" t="s">
        <v>720</v>
      </c>
      <c r="F14" s="359" t="s">
        <v>446</v>
      </c>
      <c r="G14" s="195"/>
      <c r="H14" s="307">
        <v>2400</v>
      </c>
      <c r="I14" s="307">
        <v>2400</v>
      </c>
      <c r="J14" s="215">
        <v>279.14999999999998</v>
      </c>
      <c r="K14" s="307"/>
      <c r="L14" s="558">
        <f t="shared" si="1"/>
        <v>2679.15</v>
      </c>
      <c r="M14" s="354"/>
      <c r="N14" s="350">
        <f t="shared" si="0"/>
        <v>2679.15</v>
      </c>
      <c r="O14" s="319"/>
      <c r="P14" t="s">
        <v>718</v>
      </c>
    </row>
    <row r="15" spans="2:16" ht="15.75" thickBot="1">
      <c r="B15" s="219" t="s">
        <v>447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3">
        <f>SUM(J7:J14)</f>
        <v>1762.08</v>
      </c>
      <c r="K15" s="343">
        <f>SUM(K7:K13)</f>
        <v>0</v>
      </c>
      <c r="L15" s="351">
        <f>SUM(L7:L14)</f>
        <v>25762.080000000005</v>
      </c>
      <c r="M15" s="351">
        <f>SUM(M7:M14)</f>
        <v>0</v>
      </c>
      <c r="N15" s="352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82"/>
      <c r="G18" s="682"/>
      <c r="I18" s="682"/>
      <c r="J18" s="682"/>
      <c r="K18" s="682"/>
    </row>
    <row r="19" spans="2:14">
      <c r="C19" s="228" t="s">
        <v>448</v>
      </c>
      <c r="D19" s="228"/>
      <c r="E19" s="228"/>
      <c r="F19" s="228" t="s">
        <v>637</v>
      </c>
      <c r="G19" s="228"/>
      <c r="H19" s="228"/>
      <c r="I19" s="228" t="s">
        <v>769</v>
      </c>
      <c r="J19" s="229"/>
      <c r="K19" s="230"/>
    </row>
    <row r="20" spans="2:14">
      <c r="C20" s="228" t="s">
        <v>449</v>
      </c>
      <c r="D20" s="228"/>
      <c r="E20" s="228"/>
      <c r="F20" s="228" t="s">
        <v>450</v>
      </c>
      <c r="G20" s="228"/>
      <c r="H20" s="228"/>
      <c r="I20" s="228" t="s">
        <v>451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4" sqref="H24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4" customWidth="1"/>
    <col min="15" max="15" width="11.42578125" customWidth="1"/>
  </cols>
  <sheetData>
    <row r="1" spans="1:12" ht="12.75" customHeight="1"/>
    <row r="2" spans="1:12" ht="12.75" customHeight="1">
      <c r="C2" s="666" t="s">
        <v>493</v>
      </c>
      <c r="D2" s="666"/>
      <c r="E2" s="666"/>
      <c r="G2" s="232" t="s">
        <v>494</v>
      </c>
    </row>
    <row r="3" spans="1:12" ht="15" customHeight="1">
      <c r="A3" s="232" t="s">
        <v>805</v>
      </c>
      <c r="B3" s="232"/>
      <c r="C3" s="232"/>
      <c r="D3" s="232"/>
      <c r="E3" s="232"/>
    </row>
    <row r="4" spans="1:12" ht="12.75" customHeight="1">
      <c r="A4" s="232">
        <v>2020</v>
      </c>
      <c r="B4" s="232"/>
      <c r="C4" s="666" t="s">
        <v>492</v>
      </c>
      <c r="D4" s="666"/>
      <c r="E4" s="666"/>
      <c r="G4" s="339">
        <v>0.52222222222222225</v>
      </c>
    </row>
    <row r="5" spans="1:12" ht="12.75" customHeight="1">
      <c r="A5" s="232"/>
      <c r="B5" s="232"/>
      <c r="C5" s="232"/>
      <c r="D5" s="232"/>
      <c r="E5" s="232"/>
    </row>
    <row r="6" spans="1:12" ht="12.75" customHeight="1"/>
    <row r="7" spans="1:12" ht="15.75" thickBot="1">
      <c r="A7" s="253" t="s">
        <v>491</v>
      </c>
      <c r="B7" s="253" t="s">
        <v>805</v>
      </c>
      <c r="C7" s="253" t="s">
        <v>806</v>
      </c>
      <c r="D7" s="232"/>
      <c r="E7" s="252" t="s">
        <v>488</v>
      </c>
      <c r="F7" s="252" t="s">
        <v>489</v>
      </c>
      <c r="G7" s="252" t="s">
        <v>490</v>
      </c>
      <c r="H7" s="261" t="s">
        <v>474</v>
      </c>
      <c r="J7" s="261" t="s">
        <v>581</v>
      </c>
    </row>
    <row r="8" spans="1:12">
      <c r="A8" s="244" t="s">
        <v>469</v>
      </c>
      <c r="B8" s="590">
        <f>C8*2</f>
        <v>237880</v>
      </c>
      <c r="C8" s="278">
        <f>REGIDORES!G18</f>
        <v>118940</v>
      </c>
      <c r="D8" s="238"/>
      <c r="E8" s="247">
        <f t="shared" ref="E8:E13" si="0">C8</f>
        <v>118940</v>
      </c>
      <c r="F8" s="248"/>
      <c r="G8" s="248"/>
    </row>
    <row r="9" spans="1:12">
      <c r="A9" s="244" t="s">
        <v>470</v>
      </c>
      <c r="B9" s="590">
        <f t="shared" ref="B9:B13" si="1">C9*2</f>
        <v>595306</v>
      </c>
      <c r="C9" s="278">
        <f>BASE!H199</f>
        <v>297653</v>
      </c>
      <c r="D9" s="238"/>
      <c r="E9" s="240">
        <f t="shared" si="0"/>
        <v>297653</v>
      </c>
    </row>
    <row r="10" spans="1:12">
      <c r="A10" s="244" t="s">
        <v>471</v>
      </c>
      <c r="B10" s="590">
        <f t="shared" si="1"/>
        <v>0</v>
      </c>
      <c r="C10" s="278"/>
      <c r="D10" s="238"/>
      <c r="E10" s="240">
        <f t="shared" si="0"/>
        <v>0</v>
      </c>
    </row>
    <row r="11" spans="1:12">
      <c r="A11" s="244" t="s">
        <v>472</v>
      </c>
      <c r="B11" s="590">
        <f t="shared" si="1"/>
        <v>0</v>
      </c>
      <c r="C11" s="278"/>
      <c r="D11" s="238"/>
      <c r="E11" s="240">
        <f t="shared" si="0"/>
        <v>0</v>
      </c>
    </row>
    <row r="12" spans="1:12">
      <c r="A12" s="244" t="s">
        <v>473</v>
      </c>
      <c r="B12" s="590">
        <f t="shared" si="1"/>
        <v>160976.28</v>
      </c>
      <c r="C12" s="278">
        <f>'NOMINA TRAB.EVENTUALES'!M35</f>
        <v>80488.14</v>
      </c>
      <c r="D12" s="238"/>
      <c r="E12" s="240">
        <f t="shared" si="0"/>
        <v>80488.14</v>
      </c>
    </row>
    <row r="13" spans="1:12">
      <c r="A13" s="244" t="s">
        <v>474</v>
      </c>
      <c r="B13" s="590">
        <f t="shared" si="1"/>
        <v>364731.92000000004</v>
      </c>
      <c r="C13" s="278">
        <f>'NOMINA ORD. DE PAGO QUINCENAL'!I70</f>
        <v>182365.96000000002</v>
      </c>
      <c r="D13" s="245"/>
      <c r="E13" s="241">
        <f t="shared" si="0"/>
        <v>182365.96000000002</v>
      </c>
      <c r="J13" s="254"/>
    </row>
    <row r="14" spans="1:12">
      <c r="A14" s="244" t="s">
        <v>475</v>
      </c>
      <c r="B14" s="590">
        <f>C14</f>
        <v>23990</v>
      </c>
      <c r="C14" s="278">
        <f>'PAGO TRAB.MENSUALES'!J33</f>
        <v>23990</v>
      </c>
      <c r="D14" s="238"/>
      <c r="F14" s="240">
        <f>C14</f>
        <v>23990</v>
      </c>
    </row>
    <row r="15" spans="1:12">
      <c r="A15" s="244" t="s">
        <v>476</v>
      </c>
      <c r="B15" s="590">
        <f>C15</f>
        <v>20060.400000000001</v>
      </c>
      <c r="C15" s="184">
        <v>20060.400000000001</v>
      </c>
      <c r="D15" s="238"/>
      <c r="E15" s="254"/>
      <c r="F15" s="240"/>
      <c r="G15" s="240">
        <f>'PAGO SEMANAL'!C12</f>
        <v>5015.1000000000004</v>
      </c>
      <c r="H15" s="254"/>
    </row>
    <row r="16" spans="1:12">
      <c r="A16" s="244" t="s">
        <v>375</v>
      </c>
      <c r="B16" s="590">
        <f>C16*2</f>
        <v>52897.279999999999</v>
      </c>
      <c r="C16" s="278">
        <f>'NOMINA PENSIONADOS'!K15</f>
        <v>26448.639999999999</v>
      </c>
      <c r="D16" s="238"/>
      <c r="E16" s="240"/>
      <c r="L16" s="254">
        <v>20060.400000000001</v>
      </c>
    </row>
    <row r="17" spans="1:12" ht="15.75" thickBot="1">
      <c r="A17" s="244" t="s">
        <v>477</v>
      </c>
      <c r="B17" s="590">
        <f>C17</f>
        <v>25762.080000000005</v>
      </c>
      <c r="C17" s="184">
        <f>'NOMINA CASA CULTURA'!L15</f>
        <v>25762.080000000005</v>
      </c>
      <c r="D17" s="238"/>
      <c r="E17" s="249"/>
      <c r="F17" s="250">
        <f>C17</f>
        <v>25762.080000000005</v>
      </c>
      <c r="G17" s="249"/>
      <c r="H17" s="362" t="e">
        <f>#REF!</f>
        <v>#REF!</v>
      </c>
      <c r="L17" s="254">
        <v>214092</v>
      </c>
    </row>
    <row r="18" spans="1:12" ht="15.75" thickTop="1">
      <c r="A18" s="244"/>
      <c r="B18" s="591">
        <f>SUM(B8:B17)</f>
        <v>1481603.9600000002</v>
      </c>
      <c r="C18" s="242">
        <f>SUM(C8:C17)</f>
        <v>775708.22000000009</v>
      </c>
      <c r="D18" s="246"/>
      <c r="E18" s="243">
        <f>SUM(E8:E17)</f>
        <v>679447.10000000009</v>
      </c>
      <c r="F18" s="243">
        <f>SUM(F8:F17)</f>
        <v>49752.08</v>
      </c>
      <c r="G18" s="243">
        <f>SUM(G8:G17)</f>
        <v>5015.1000000000004</v>
      </c>
      <c r="H18" s="363" t="e">
        <f>SUM(H8:H17)</f>
        <v>#REF!</v>
      </c>
      <c r="I18" s="240"/>
      <c r="L18" s="254">
        <v>595306</v>
      </c>
    </row>
    <row r="19" spans="1:12" ht="15.75" thickBot="1">
      <c r="C19" s="185"/>
      <c r="D19" s="185"/>
      <c r="L19" s="254">
        <v>160976.28</v>
      </c>
    </row>
    <row r="20" spans="1:12" ht="15.75" thickBot="1">
      <c r="F20" s="251">
        <f>E18+F18+G18</f>
        <v>734214.28</v>
      </c>
      <c r="L20" s="254">
        <v>52897.279999999999</v>
      </c>
    </row>
    <row r="21" spans="1:12">
      <c r="F21" s="240"/>
      <c r="L21" s="254">
        <v>364731.92</v>
      </c>
    </row>
    <row r="22" spans="1:12">
      <c r="C22" t="s">
        <v>579</v>
      </c>
      <c r="E22" s="240">
        <f>E8+E9+E12+E13+F14+G15+H15+E16+F17</f>
        <v>734214.28</v>
      </c>
      <c r="L22" s="254">
        <v>23990</v>
      </c>
    </row>
    <row r="23" spans="1:12">
      <c r="C23" s="227" t="s">
        <v>580</v>
      </c>
      <c r="D23" s="306"/>
      <c r="E23" s="306">
        <f>E10+E11</f>
        <v>0</v>
      </c>
      <c r="L23" s="254">
        <v>25762.080000000002</v>
      </c>
    </row>
    <row r="24" spans="1:12">
      <c r="D24" s="240"/>
      <c r="E24" s="361">
        <f>SUM(E22:E23)</f>
        <v>734214.28</v>
      </c>
      <c r="L24" s="254">
        <f>SUM(L16:L23)</f>
        <v>1457815.9600000002</v>
      </c>
    </row>
    <row r="25" spans="1:12">
      <c r="D25" s="240"/>
      <c r="E25" s="240"/>
    </row>
    <row r="26" spans="1:12">
      <c r="E26" s="240"/>
    </row>
    <row r="27" spans="1:12">
      <c r="E27" s="240"/>
    </row>
    <row r="28" spans="1:12">
      <c r="C28" s="227"/>
      <c r="D28" s="227"/>
      <c r="E28" s="306"/>
    </row>
    <row r="29" spans="1:12">
      <c r="E29" s="240"/>
    </row>
    <row r="31" spans="1:12">
      <c r="A31" s="233"/>
      <c r="E31" s="275"/>
      <c r="F31" s="240"/>
    </row>
    <row r="32" spans="1:12">
      <c r="A32" s="232"/>
      <c r="B32" s="232"/>
      <c r="C32" s="232"/>
      <c r="D32" s="232"/>
      <c r="E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90" zoomScaleNormal="100" workbookViewId="0">
      <selection activeCell="H199" sqref="H199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6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06" t="s">
        <v>28</v>
      </c>
      <c r="D1" s="606"/>
      <c r="E1" s="606"/>
      <c r="F1" s="607"/>
      <c r="G1" s="607"/>
      <c r="H1" s="607"/>
      <c r="I1" s="607"/>
      <c r="J1" s="168"/>
    </row>
    <row r="2" spans="2:18" ht="19.5">
      <c r="B2" s="612" t="s">
        <v>221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P2" s="297">
        <f t="shared" ref="P2:P63" si="0">M2-O2</f>
        <v>0</v>
      </c>
    </row>
    <row r="3" spans="2:18" ht="15">
      <c r="B3" s="613" t="s">
        <v>794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P3" s="297">
        <f t="shared" si="0"/>
        <v>0</v>
      </c>
    </row>
    <row r="4" spans="2:18" ht="12.75">
      <c r="B4" s="20"/>
      <c r="C4" s="22" t="s">
        <v>0</v>
      </c>
      <c r="D4" s="22"/>
      <c r="E4" s="364"/>
      <c r="F4" s="3"/>
      <c r="G4" s="3"/>
      <c r="H4" s="3"/>
      <c r="I4" s="3"/>
      <c r="J4" s="3"/>
      <c r="K4" s="3"/>
      <c r="L4" s="3"/>
      <c r="M4" s="3"/>
      <c r="N4" s="3"/>
      <c r="P4" s="297">
        <f t="shared" si="0"/>
        <v>0</v>
      </c>
    </row>
    <row r="5" spans="2:18" ht="27" customHeight="1">
      <c r="B5" s="452" t="s">
        <v>1</v>
      </c>
      <c r="C5" s="453" t="s">
        <v>2</v>
      </c>
      <c r="D5" s="453" t="s">
        <v>236</v>
      </c>
      <c r="E5" s="454"/>
      <c r="F5" s="453" t="s">
        <v>3</v>
      </c>
      <c r="G5" s="455" t="s">
        <v>4</v>
      </c>
      <c r="H5" s="455" t="s">
        <v>5</v>
      </c>
      <c r="I5" s="453" t="s">
        <v>711</v>
      </c>
      <c r="J5" s="453" t="s">
        <v>625</v>
      </c>
      <c r="K5" s="453" t="s">
        <v>47</v>
      </c>
      <c r="L5" s="455" t="s">
        <v>6</v>
      </c>
      <c r="M5" s="456" t="s">
        <v>7</v>
      </c>
      <c r="N5" s="456" t="s">
        <v>29</v>
      </c>
      <c r="P5" s="297"/>
    </row>
    <row r="6" spans="2:18" ht="18" customHeight="1">
      <c r="B6" s="23" t="s">
        <v>10</v>
      </c>
      <c r="C6" s="3"/>
      <c r="D6" s="3"/>
      <c r="E6" s="365"/>
      <c r="F6" s="3"/>
      <c r="G6" s="3"/>
      <c r="H6" s="3"/>
      <c r="I6" s="3"/>
      <c r="J6" s="3"/>
      <c r="K6" s="3"/>
      <c r="L6" s="3"/>
      <c r="M6" s="3"/>
      <c r="N6" s="3"/>
      <c r="P6" s="297"/>
    </row>
    <row r="7" spans="2:18" ht="30" customHeight="1">
      <c r="B7" s="20" t="s">
        <v>278</v>
      </c>
      <c r="C7" s="3" t="s">
        <v>655</v>
      </c>
      <c r="D7" s="8" t="s">
        <v>239</v>
      </c>
      <c r="E7" s="366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7"/>
      <c r="R7" s="19">
        <v>26270.560000000001</v>
      </c>
    </row>
    <row r="8" spans="2:18" ht="30" customHeight="1">
      <c r="B8" s="20" t="s">
        <v>279</v>
      </c>
      <c r="C8" s="3" t="s">
        <v>590</v>
      </c>
      <c r="D8" s="8" t="s">
        <v>240</v>
      </c>
      <c r="E8" s="366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7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7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4">
        <f>H9+I9-L9</f>
        <v>24414.68</v>
      </c>
      <c r="P9" s="297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5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7"/>
      <c r="R10" s="19">
        <v>16890.93</v>
      </c>
    </row>
    <row r="11" spans="2:18" ht="18" customHeight="1">
      <c r="B11" s="23" t="s">
        <v>11</v>
      </c>
      <c r="C11" s="3"/>
      <c r="D11" s="3"/>
      <c r="E11" s="365"/>
      <c r="F11" s="3"/>
      <c r="G11" s="3"/>
      <c r="H11" s="3"/>
      <c r="I11" s="3"/>
      <c r="J11" s="3"/>
      <c r="K11" s="3"/>
      <c r="L11" s="3"/>
      <c r="M11" s="3"/>
      <c r="N11" s="3"/>
      <c r="P11" s="297"/>
      <c r="R11" s="19">
        <v>7669.53</v>
      </c>
    </row>
    <row r="12" spans="2:18" ht="30" customHeight="1">
      <c r="B12" s="20" t="s">
        <v>280</v>
      </c>
      <c r="C12" s="3" t="s">
        <v>32</v>
      </c>
      <c r="D12" s="8" t="s">
        <v>598</v>
      </c>
      <c r="E12" s="366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7"/>
      <c r="R12" s="19">
        <v>7335.92</v>
      </c>
    </row>
    <row r="13" spans="2:18" ht="30" customHeight="1">
      <c r="B13" s="20" t="s">
        <v>281</v>
      </c>
      <c r="C13" s="279" t="s">
        <v>585</v>
      </c>
      <c r="D13" s="8" t="s">
        <v>241</v>
      </c>
      <c r="E13" s="366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7"/>
    </row>
    <row r="14" spans="2:18" s="26" customFormat="1" ht="18" customHeight="1">
      <c r="B14" s="24" t="s">
        <v>9</v>
      </c>
      <c r="C14" s="25"/>
      <c r="D14" s="25"/>
      <c r="E14" s="367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4">
        <f>H14+I14-L14</f>
        <v>9126.8599999999988</v>
      </c>
      <c r="P14" s="297">
        <f t="shared" si="0"/>
        <v>0</v>
      </c>
    </row>
    <row r="15" spans="2:18" ht="18" customHeight="1">
      <c r="B15" s="20"/>
      <c r="C15" s="3"/>
      <c r="D15" s="3"/>
      <c r="E15" s="365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3"/>
      <c r="P15" s="297"/>
    </row>
    <row r="16" spans="2:18" ht="18" customHeight="1">
      <c r="B16" s="23" t="s">
        <v>12</v>
      </c>
      <c r="C16" s="3"/>
      <c r="D16" s="3"/>
      <c r="E16" s="365"/>
      <c r="F16" s="3"/>
      <c r="G16" s="3"/>
      <c r="H16" s="3"/>
      <c r="I16" s="3"/>
      <c r="J16" s="3"/>
      <c r="K16" s="3"/>
      <c r="L16" s="3"/>
      <c r="M16" s="3"/>
      <c r="N16" s="3"/>
      <c r="P16" s="297"/>
    </row>
    <row r="17" spans="2:16" ht="30" customHeight="1">
      <c r="B17" s="20" t="s">
        <v>282</v>
      </c>
      <c r="C17" s="3" t="s">
        <v>46</v>
      </c>
      <c r="D17" s="8" t="s">
        <v>242</v>
      </c>
      <c r="E17" s="366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7"/>
    </row>
    <row r="18" spans="2:16" s="26" customFormat="1" ht="18" customHeight="1">
      <c r="B18" s="24" t="s">
        <v>9</v>
      </c>
      <c r="C18" s="25"/>
      <c r="D18" s="25"/>
      <c r="E18" s="367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4">
        <f>H18+I18-L18</f>
        <v>4930.75</v>
      </c>
      <c r="P18" s="297">
        <f t="shared" si="0"/>
        <v>0</v>
      </c>
    </row>
    <row r="19" spans="2:16" ht="18" customHeight="1">
      <c r="B19" s="20"/>
      <c r="C19" s="551"/>
      <c r="D19" s="3"/>
      <c r="E19" s="365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7"/>
    </row>
    <row r="20" spans="2:16" ht="18" customHeight="1">
      <c r="B20" s="20"/>
      <c r="C20" s="3"/>
      <c r="D20" s="3"/>
      <c r="E20" s="365"/>
      <c r="F20" s="3"/>
      <c r="G20" s="3"/>
      <c r="H20" s="3"/>
      <c r="I20" s="3"/>
      <c r="J20" s="325"/>
      <c r="K20" s="3"/>
      <c r="L20" s="3"/>
      <c r="M20" s="3"/>
      <c r="N20" s="3"/>
      <c r="P20" s="297"/>
    </row>
    <row r="21" spans="2:16" ht="18" customHeight="1">
      <c r="B21" s="23" t="s">
        <v>13</v>
      </c>
      <c r="C21" s="3"/>
      <c r="D21" s="3"/>
      <c r="E21" s="365"/>
      <c r="F21" s="3"/>
      <c r="G21" s="3"/>
      <c r="H21" s="3"/>
      <c r="I21" s="3"/>
      <c r="J21" s="3"/>
      <c r="K21" s="3"/>
      <c r="L21" s="3"/>
      <c r="M21" s="3"/>
      <c r="N21" s="3"/>
      <c r="P21" s="297"/>
    </row>
    <row r="22" spans="2:16" ht="30" customHeight="1">
      <c r="B22" s="20" t="s">
        <v>283</v>
      </c>
      <c r="C22" s="3"/>
      <c r="D22" s="8" t="s">
        <v>239</v>
      </c>
      <c r="E22" s="366"/>
      <c r="F22" s="9"/>
      <c r="G22" s="9">
        <v>0</v>
      </c>
      <c r="H22" s="9"/>
      <c r="I22" s="13"/>
      <c r="J22" s="357"/>
      <c r="K22" s="9"/>
      <c r="L22" s="9">
        <f>K22</f>
        <v>0</v>
      </c>
      <c r="M22" s="9">
        <f>H22+I22-L22-J22</f>
        <v>0</v>
      </c>
      <c r="N22" s="3"/>
      <c r="P22" s="297"/>
    </row>
    <row r="23" spans="2:16" ht="30" customHeight="1">
      <c r="B23" s="20" t="s">
        <v>284</v>
      </c>
      <c r="C23" s="3" t="s">
        <v>465</v>
      </c>
      <c r="D23" s="8" t="s">
        <v>243</v>
      </c>
      <c r="E23" s="366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7"/>
    </row>
    <row r="24" spans="2:16" s="26" customFormat="1" ht="18" customHeight="1">
      <c r="B24" s="24" t="s">
        <v>9</v>
      </c>
      <c r="C24" s="25"/>
      <c r="D24" s="25"/>
      <c r="E24" s="367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4">
        <f>H24+I24-L24-J24</f>
        <v>6787.73</v>
      </c>
      <c r="P24" s="297">
        <f t="shared" si="0"/>
        <v>0</v>
      </c>
    </row>
    <row r="25" spans="2:16" ht="18" customHeight="1">
      <c r="B25" s="20"/>
      <c r="C25" s="3"/>
      <c r="D25" s="3"/>
      <c r="E25" s="365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7"/>
    </row>
    <row r="26" spans="2:16" ht="18" customHeight="1">
      <c r="B26" s="28"/>
      <c r="C26" s="596"/>
      <c r="D26" s="596"/>
      <c r="E26" s="596"/>
      <c r="F26" s="597"/>
      <c r="G26" s="597"/>
      <c r="H26" s="597"/>
      <c r="I26" s="597"/>
      <c r="J26" s="320"/>
      <c r="K26" s="29"/>
      <c r="L26" s="29"/>
      <c r="M26" s="29"/>
      <c r="N26" s="29"/>
      <c r="P26" s="297"/>
    </row>
    <row r="27" spans="2:16" ht="18" customHeight="1">
      <c r="B27" s="598" t="s">
        <v>221</v>
      </c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600"/>
      <c r="P27" s="297"/>
    </row>
    <row r="28" spans="2:16" ht="18" customHeight="1">
      <c r="B28" s="601" t="s">
        <v>794</v>
      </c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3"/>
      <c r="P28" s="297"/>
    </row>
    <row r="29" spans="2:16" ht="18" customHeight="1">
      <c r="B29" s="30"/>
      <c r="C29" s="31" t="s">
        <v>0</v>
      </c>
      <c r="D29" s="31"/>
      <c r="E29" s="368"/>
      <c r="N29" s="32"/>
      <c r="P29" s="297"/>
    </row>
    <row r="30" spans="2:16" ht="18" customHeight="1">
      <c r="B30" s="37" t="s">
        <v>604</v>
      </c>
      <c r="C30" s="31"/>
      <c r="D30" s="31"/>
      <c r="E30" s="368"/>
      <c r="N30" s="32"/>
      <c r="P30" s="297"/>
    </row>
    <row r="31" spans="2:16" ht="34.5" thickBot="1">
      <c r="B31" s="457" t="s">
        <v>1</v>
      </c>
      <c r="C31" s="458" t="s">
        <v>2</v>
      </c>
      <c r="D31" s="458"/>
      <c r="E31" s="459"/>
      <c r="F31" s="458" t="s">
        <v>3</v>
      </c>
      <c r="G31" s="460" t="s">
        <v>4</v>
      </c>
      <c r="H31" s="460" t="s">
        <v>5</v>
      </c>
      <c r="I31" s="458" t="s">
        <v>48</v>
      </c>
      <c r="J31" s="458" t="s">
        <v>626</v>
      </c>
      <c r="K31" s="458" t="s">
        <v>47</v>
      </c>
      <c r="L31" s="460" t="s">
        <v>6</v>
      </c>
      <c r="M31" s="461" t="s">
        <v>7</v>
      </c>
      <c r="N31" s="462" t="s">
        <v>29</v>
      </c>
      <c r="P31" s="297"/>
    </row>
    <row r="32" spans="2:16" ht="30" customHeight="1" thickTop="1">
      <c r="B32" s="20" t="s">
        <v>285</v>
      </c>
      <c r="C32" s="299" t="s">
        <v>481</v>
      </c>
      <c r="D32" s="8" t="s">
        <v>239</v>
      </c>
      <c r="E32" s="366">
        <f>7370/2</f>
        <v>3685</v>
      </c>
      <c r="F32" s="9">
        <v>3685</v>
      </c>
      <c r="G32" s="357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7"/>
    </row>
    <row r="33" spans="2:16" ht="30" customHeight="1">
      <c r="B33" s="20" t="s">
        <v>286</v>
      </c>
      <c r="C33" s="3" t="s">
        <v>654</v>
      </c>
      <c r="D33" s="8" t="s">
        <v>244</v>
      </c>
      <c r="E33" s="366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7"/>
    </row>
    <row r="34" spans="2:16" s="26" customFormat="1" ht="18" customHeight="1" thickBot="1">
      <c r="B34" s="34" t="s">
        <v>9</v>
      </c>
      <c r="C34" s="35"/>
      <c r="D34" s="35"/>
      <c r="E34" s="369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4">
        <f>H34+I34-L34</f>
        <v>8217.58</v>
      </c>
      <c r="P34" s="297">
        <f t="shared" si="0"/>
        <v>0</v>
      </c>
    </row>
    <row r="35" spans="2:16" ht="18" customHeight="1" thickTop="1">
      <c r="B35" s="30"/>
      <c r="E35" s="370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7"/>
    </row>
    <row r="36" spans="2:16" ht="18" customHeight="1">
      <c r="B36" s="37" t="s">
        <v>14</v>
      </c>
      <c r="E36" s="370"/>
      <c r="N36" s="32"/>
      <c r="P36" s="297"/>
    </row>
    <row r="37" spans="2:16" ht="30" customHeight="1">
      <c r="B37" s="20" t="s">
        <v>287</v>
      </c>
      <c r="C37" s="3" t="s">
        <v>225</v>
      </c>
      <c r="D37" s="8" t="s">
        <v>245</v>
      </c>
      <c r="E37" s="366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7"/>
    </row>
    <row r="38" spans="2:16" ht="30" customHeight="1">
      <c r="B38" s="20" t="s">
        <v>376</v>
      </c>
      <c r="C38" s="3" t="s">
        <v>656</v>
      </c>
      <c r="D38" s="8" t="s">
        <v>246</v>
      </c>
      <c r="E38" s="366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7"/>
    </row>
    <row r="39" spans="2:16" s="26" customFormat="1" ht="18" customHeight="1" thickBot="1">
      <c r="B39" s="34" t="s">
        <v>9</v>
      </c>
      <c r="C39" s="35"/>
      <c r="D39" s="35"/>
      <c r="E39" s="369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4">
        <f>H39+I39-L39</f>
        <v>7622.4400000000005</v>
      </c>
      <c r="P39" s="297">
        <f t="shared" si="0"/>
        <v>0</v>
      </c>
    </row>
    <row r="40" spans="2:16" ht="18" customHeight="1" thickTop="1">
      <c r="B40" s="30"/>
      <c r="E40" s="370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7"/>
    </row>
    <row r="41" spans="2:16" ht="18" customHeight="1">
      <c r="B41" s="30"/>
      <c r="E41" s="370"/>
      <c r="N41" s="32"/>
      <c r="P41" s="297"/>
    </row>
    <row r="42" spans="2:16" ht="18" customHeight="1">
      <c r="B42" s="37" t="s">
        <v>15</v>
      </c>
      <c r="E42" s="370"/>
      <c r="N42" s="32"/>
      <c r="P42" s="297"/>
    </row>
    <row r="43" spans="2:16" ht="30" customHeight="1">
      <c r="B43" s="20" t="s">
        <v>377</v>
      </c>
      <c r="C43" s="3" t="s">
        <v>594</v>
      </c>
      <c r="D43" s="8" t="s">
        <v>247</v>
      </c>
      <c r="E43" s="366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2"/>
      <c r="O43" s="200"/>
      <c r="P43" s="297"/>
    </row>
    <row r="44" spans="2:16" ht="30" customHeight="1">
      <c r="B44" s="20" t="s">
        <v>378</v>
      </c>
      <c r="C44" s="3" t="s">
        <v>652</v>
      </c>
      <c r="D44" s="8" t="s">
        <v>256</v>
      </c>
      <c r="E44" s="366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7"/>
    </row>
    <row r="45" spans="2:16" ht="30" customHeight="1">
      <c r="B45" s="20" t="s">
        <v>379</v>
      </c>
      <c r="C45" s="239" t="s">
        <v>635</v>
      </c>
      <c r="D45" s="8" t="s">
        <v>239</v>
      </c>
      <c r="E45" s="366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7"/>
    </row>
    <row r="46" spans="2:16" ht="30" customHeight="1">
      <c r="B46" s="20" t="s">
        <v>380</v>
      </c>
      <c r="C46" s="3" t="s">
        <v>653</v>
      </c>
      <c r="D46" s="8" t="s">
        <v>239</v>
      </c>
      <c r="E46" s="366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7"/>
    </row>
    <row r="47" spans="2:16" s="26" customFormat="1" ht="18" customHeight="1" thickBot="1">
      <c r="B47" s="34" t="s">
        <v>9</v>
      </c>
      <c r="C47" s="35"/>
      <c r="D47" s="35"/>
      <c r="E47" s="369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5">
        <f>H47+I47-L47-J47</f>
        <v>19801.16</v>
      </c>
      <c r="P47" s="297">
        <f t="shared" si="0"/>
        <v>0</v>
      </c>
    </row>
    <row r="48" spans="2:16" ht="18" customHeight="1" thickTop="1">
      <c r="B48" s="30"/>
      <c r="E48" s="370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7"/>
    </row>
    <row r="49" spans="2:16" ht="18" customHeight="1">
      <c r="B49" s="30"/>
      <c r="E49" s="370"/>
      <c r="N49" s="32"/>
      <c r="P49" s="297"/>
    </row>
    <row r="50" spans="2:16" ht="18" customHeight="1">
      <c r="B50" s="37" t="s">
        <v>16</v>
      </c>
      <c r="E50" s="370"/>
      <c r="N50" s="32"/>
      <c r="P50" s="297"/>
    </row>
    <row r="51" spans="2:16" ht="30" customHeight="1">
      <c r="B51" s="20" t="s">
        <v>381</v>
      </c>
      <c r="C51" s="3" t="s">
        <v>36</v>
      </c>
      <c r="D51" s="8" t="s">
        <v>249</v>
      </c>
      <c r="E51" s="366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7"/>
    </row>
    <row r="52" spans="2:16" ht="30" customHeight="1">
      <c r="B52" s="20" t="s">
        <v>382</v>
      </c>
      <c r="C52" s="3" t="s">
        <v>676</v>
      </c>
      <c r="D52" s="8" t="s">
        <v>786</v>
      </c>
      <c r="E52" s="366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72">
        <v>1500</v>
      </c>
      <c r="K52" s="9">
        <v>490.25</v>
      </c>
      <c r="L52" s="9">
        <f>K52</f>
        <v>490.25</v>
      </c>
      <c r="M52" s="9">
        <f>H52+I52-L52-J52</f>
        <v>3201.75</v>
      </c>
      <c r="N52" s="41"/>
      <c r="P52" s="297"/>
    </row>
    <row r="53" spans="2:16" s="26" customFormat="1" ht="18" customHeight="1">
      <c r="B53" s="42" t="s">
        <v>9</v>
      </c>
      <c r="C53" s="43"/>
      <c r="D53" s="43"/>
      <c r="E53" s="371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1500</v>
      </c>
      <c r="K53" s="283">
        <f>SUM(K51:K52)</f>
        <v>822.85</v>
      </c>
      <c r="L53" s="283">
        <f t="shared" si="13"/>
        <v>822.85</v>
      </c>
      <c r="M53" s="283">
        <f>SUM(M51:M52)</f>
        <v>7056.15</v>
      </c>
      <c r="N53" s="44"/>
      <c r="O53" s="294">
        <f>H53+I53-L53</f>
        <v>8556.15</v>
      </c>
      <c r="P53" s="297">
        <f t="shared" si="0"/>
        <v>-1500</v>
      </c>
    </row>
    <row r="54" spans="2:16" ht="18" customHeight="1">
      <c r="E54" s="372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7"/>
    </row>
    <row r="55" spans="2:16" ht="18" customHeight="1">
      <c r="E55" s="372"/>
      <c r="F55" s="16"/>
      <c r="G55" s="16"/>
      <c r="H55" s="16"/>
      <c r="I55" s="16"/>
      <c r="J55" s="16"/>
      <c r="K55" s="16"/>
      <c r="L55" s="16"/>
      <c r="M55" s="18"/>
      <c r="N55" s="32"/>
      <c r="P55" s="297"/>
    </row>
    <row r="56" spans="2:16" ht="18" customHeight="1">
      <c r="B56" s="598" t="s">
        <v>221</v>
      </c>
      <c r="C56" s="599"/>
      <c r="D56" s="599"/>
      <c r="E56" s="599"/>
      <c r="F56" s="599"/>
      <c r="G56" s="599"/>
      <c r="H56" s="599"/>
      <c r="I56" s="599"/>
      <c r="J56" s="599"/>
      <c r="K56" s="599"/>
      <c r="L56" s="599"/>
      <c r="M56" s="599"/>
      <c r="N56" s="600"/>
      <c r="P56" s="297"/>
    </row>
    <row r="57" spans="2:16" ht="18" customHeight="1">
      <c r="B57" s="601" t="s">
        <v>795</v>
      </c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3"/>
      <c r="P57" s="297"/>
    </row>
    <row r="58" spans="2:16" ht="18" customHeight="1">
      <c r="B58" s="30"/>
      <c r="C58" s="31" t="s">
        <v>0</v>
      </c>
      <c r="D58" s="31"/>
      <c r="E58" s="368"/>
      <c r="N58" s="32"/>
      <c r="P58" s="297"/>
    </row>
    <row r="59" spans="2:16" ht="30" customHeight="1" thickBot="1">
      <c r="B59" s="457" t="s">
        <v>1</v>
      </c>
      <c r="C59" s="458" t="s">
        <v>2</v>
      </c>
      <c r="D59" s="458"/>
      <c r="E59" s="459"/>
      <c r="F59" s="458" t="s">
        <v>3</v>
      </c>
      <c r="G59" s="460" t="s">
        <v>4</v>
      </c>
      <c r="H59" s="460" t="s">
        <v>5</v>
      </c>
      <c r="I59" s="458" t="s">
        <v>48</v>
      </c>
      <c r="J59" s="458"/>
      <c r="K59" s="458" t="s">
        <v>47</v>
      </c>
      <c r="L59" s="460" t="s">
        <v>6</v>
      </c>
      <c r="M59" s="461" t="s">
        <v>7</v>
      </c>
      <c r="N59" s="462" t="s">
        <v>29</v>
      </c>
      <c r="P59" s="297"/>
    </row>
    <row r="60" spans="2:16" ht="18" customHeight="1" thickTop="1">
      <c r="B60" s="37" t="s">
        <v>17</v>
      </c>
      <c r="E60" s="370"/>
      <c r="N60" s="32"/>
      <c r="P60" s="297"/>
    </row>
    <row r="61" spans="2:16" ht="18" customHeight="1">
      <c r="B61" s="20" t="s">
        <v>383</v>
      </c>
      <c r="C61" s="3" t="s">
        <v>592</v>
      </c>
      <c r="D61" s="8" t="s">
        <v>593</v>
      </c>
      <c r="E61" s="366">
        <f>10384/2</f>
        <v>5192</v>
      </c>
      <c r="F61" s="516">
        <f>E61</f>
        <v>5192</v>
      </c>
      <c r="G61" s="27"/>
      <c r="H61" s="27">
        <f>F61</f>
        <v>5192</v>
      </c>
      <c r="I61" s="27"/>
      <c r="J61" s="571">
        <v>500</v>
      </c>
      <c r="K61" s="27">
        <v>490.25</v>
      </c>
      <c r="L61" s="27">
        <f>K61</f>
        <v>490.25</v>
      </c>
      <c r="M61" s="27">
        <f>H61-L61-J61</f>
        <v>4201.75</v>
      </c>
      <c r="N61" s="32"/>
      <c r="P61" s="297"/>
    </row>
    <row r="62" spans="2:16" ht="24.95" customHeight="1">
      <c r="B62" s="20" t="s">
        <v>384</v>
      </c>
      <c r="C62" s="3" t="s">
        <v>37</v>
      </c>
      <c r="D62" s="8" t="s">
        <v>256</v>
      </c>
      <c r="E62" s="366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8" t="s">
        <v>677</v>
      </c>
      <c r="P62" s="297"/>
    </row>
    <row r="63" spans="2:16" s="26" customFormat="1" ht="24.95" customHeight="1" thickBot="1">
      <c r="B63" s="34" t="s">
        <v>9</v>
      </c>
      <c r="C63" s="35"/>
      <c r="D63" s="35"/>
      <c r="E63" s="369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500</v>
      </c>
      <c r="K63" s="282">
        <f>SUM(K61:K62)</f>
        <v>799.35</v>
      </c>
      <c r="L63" s="282">
        <f>SUM(L61:L62)</f>
        <v>799.35</v>
      </c>
      <c r="M63" s="282">
        <f>SUM(M61:M62)</f>
        <v>7863.65</v>
      </c>
      <c r="N63" s="46"/>
      <c r="O63" s="294">
        <f>H63+I63-L63-J63</f>
        <v>7863.65</v>
      </c>
      <c r="P63" s="297">
        <f t="shared" si="0"/>
        <v>0</v>
      </c>
    </row>
    <row r="64" spans="2:16" ht="24.95" customHeight="1" thickTop="1">
      <c r="B64" s="30"/>
      <c r="E64" s="370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7"/>
    </row>
    <row r="65" spans="2:16" ht="24.95" customHeight="1">
      <c r="B65" s="30"/>
      <c r="E65" s="370"/>
      <c r="N65" s="32"/>
      <c r="P65" s="297"/>
    </row>
    <row r="66" spans="2:16" ht="24.95" customHeight="1">
      <c r="B66" s="37" t="s">
        <v>18</v>
      </c>
      <c r="E66" s="370"/>
      <c r="N66" s="32"/>
      <c r="P66" s="297"/>
    </row>
    <row r="67" spans="2:16" ht="24.95" customHeight="1">
      <c r="B67" s="20" t="s">
        <v>385</v>
      </c>
      <c r="C67" s="3" t="s">
        <v>40</v>
      </c>
      <c r="D67" s="8" t="s">
        <v>251</v>
      </c>
      <c r="E67" s="366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7"/>
    </row>
    <row r="68" spans="2:16" ht="24.95" customHeight="1">
      <c r="B68" s="20" t="s">
        <v>386</v>
      </c>
      <c r="C68" s="3" t="s">
        <v>38</v>
      </c>
      <c r="D68" s="8" t="s">
        <v>252</v>
      </c>
      <c r="E68" s="366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7"/>
    </row>
    <row r="69" spans="2:16" ht="24.95" customHeight="1">
      <c r="B69" s="20" t="s">
        <v>387</v>
      </c>
      <c r="C69" s="3" t="s">
        <v>39</v>
      </c>
      <c r="D69" s="8" t="s">
        <v>253</v>
      </c>
      <c r="E69" s="366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7"/>
    </row>
    <row r="70" spans="2:16" s="26" customFormat="1" ht="24.95" customHeight="1" thickBot="1">
      <c r="B70" s="34" t="s">
        <v>9</v>
      </c>
      <c r="C70" s="35"/>
      <c r="D70" s="35"/>
      <c r="E70" s="369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4">
        <f>H70+I70-L70</f>
        <v>12256.66</v>
      </c>
      <c r="P70" s="297">
        <f t="shared" ref="P70:P123" si="18">M70-O70</f>
        <v>0</v>
      </c>
    </row>
    <row r="71" spans="2:16" ht="24.95" customHeight="1" thickTop="1">
      <c r="B71" s="30"/>
      <c r="E71" s="370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7"/>
    </row>
    <row r="72" spans="2:16" ht="24.95" customHeight="1">
      <c r="B72" s="30"/>
      <c r="E72" s="370"/>
      <c r="N72" s="32"/>
      <c r="P72" s="297"/>
    </row>
    <row r="73" spans="2:16" ht="24.95" customHeight="1">
      <c r="B73" s="37" t="s">
        <v>19</v>
      </c>
      <c r="E73" s="370"/>
      <c r="N73" s="32"/>
      <c r="P73" s="297"/>
    </row>
    <row r="74" spans="2:16" ht="24.95" customHeight="1">
      <c r="B74" s="20" t="s">
        <v>388</v>
      </c>
      <c r="C74" s="3" t="s">
        <v>480</v>
      </c>
      <c r="D74" s="8" t="s">
        <v>254</v>
      </c>
      <c r="E74" s="366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7"/>
    </row>
    <row r="75" spans="2:16" s="26" customFormat="1" ht="24.95" customHeight="1" thickBot="1">
      <c r="B75" s="34" t="s">
        <v>9</v>
      </c>
      <c r="C75" s="35"/>
      <c r="D75" s="35"/>
      <c r="E75" s="369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4">
        <f>H75+I75-L75</f>
        <v>6968.6</v>
      </c>
      <c r="P75" s="297">
        <f t="shared" si="18"/>
        <v>0</v>
      </c>
    </row>
    <row r="76" spans="2:16" ht="18" customHeight="1" thickTop="1">
      <c r="B76" s="47"/>
      <c r="C76" s="48"/>
      <c r="D76" s="48"/>
      <c r="E76" s="373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7"/>
    </row>
    <row r="77" spans="2:16" ht="18" customHeight="1">
      <c r="E77" s="372"/>
      <c r="P77" s="297"/>
    </row>
    <row r="78" spans="2:16" ht="18" customHeight="1">
      <c r="E78" s="372"/>
      <c r="P78" s="297"/>
    </row>
    <row r="79" spans="2:16" ht="18" customHeight="1">
      <c r="E79" s="372"/>
      <c r="P79" s="297"/>
    </row>
    <row r="80" spans="2:16" ht="18" customHeight="1">
      <c r="B80" s="598" t="s">
        <v>221</v>
      </c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600"/>
      <c r="P80" s="297"/>
    </row>
    <row r="81" spans="2:16" ht="18" customHeight="1">
      <c r="B81" s="601" t="s">
        <v>794</v>
      </c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3"/>
      <c r="P81" s="297"/>
    </row>
    <row r="82" spans="2:16" ht="18" customHeight="1">
      <c r="B82" s="30"/>
      <c r="C82" s="31" t="s">
        <v>0</v>
      </c>
      <c r="D82" s="31"/>
      <c r="E82" s="368"/>
      <c r="N82" s="32"/>
      <c r="P82" s="297"/>
    </row>
    <row r="83" spans="2:16" ht="30" customHeight="1" thickBot="1">
      <c r="B83" s="457" t="s">
        <v>1</v>
      </c>
      <c r="C83" s="458" t="s">
        <v>2</v>
      </c>
      <c r="D83" s="458"/>
      <c r="E83" s="459"/>
      <c r="F83" s="458" t="s">
        <v>3</v>
      </c>
      <c r="G83" s="460" t="s">
        <v>4</v>
      </c>
      <c r="H83" s="460" t="s">
        <v>5</v>
      </c>
      <c r="I83" s="458" t="s">
        <v>48</v>
      </c>
      <c r="J83" s="458"/>
      <c r="K83" s="458" t="s">
        <v>47</v>
      </c>
      <c r="L83" s="460" t="s">
        <v>6</v>
      </c>
      <c r="M83" s="461" t="s">
        <v>7</v>
      </c>
      <c r="N83" s="462" t="s">
        <v>29</v>
      </c>
      <c r="P83" s="297"/>
    </row>
    <row r="84" spans="2:16" ht="18" customHeight="1" thickTop="1">
      <c r="B84" s="37" t="s">
        <v>20</v>
      </c>
      <c r="E84" s="370"/>
      <c r="N84" s="32"/>
      <c r="P84" s="297"/>
    </row>
    <row r="85" spans="2:16" ht="30" customHeight="1">
      <c r="B85" s="20" t="s">
        <v>389</v>
      </c>
      <c r="C85" s="3" t="s">
        <v>452</v>
      </c>
      <c r="D85" s="8" t="s">
        <v>255</v>
      </c>
      <c r="E85" s="366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572">
        <v>1000</v>
      </c>
      <c r="K85" s="9">
        <v>908.28</v>
      </c>
      <c r="L85" s="9">
        <f>K85</f>
        <v>908.28</v>
      </c>
      <c r="M85" s="9">
        <f>H85+I85-L85-J85</f>
        <v>5371.72</v>
      </c>
      <c r="N85" s="33"/>
      <c r="P85" s="297"/>
    </row>
    <row r="86" spans="2:16" ht="30" customHeight="1">
      <c r="B86" s="20" t="s">
        <v>390</v>
      </c>
      <c r="C86" s="3" t="s">
        <v>453</v>
      </c>
      <c r="D86" s="8" t="s">
        <v>255</v>
      </c>
      <c r="E86" s="366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7"/>
    </row>
    <row r="87" spans="2:16" ht="30" customHeight="1">
      <c r="B87" s="20" t="s">
        <v>391</v>
      </c>
      <c r="C87" s="3" t="s">
        <v>454</v>
      </c>
      <c r="D87" s="8" t="s">
        <v>255</v>
      </c>
      <c r="E87" s="366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7"/>
    </row>
    <row r="88" spans="2:16" ht="30" customHeight="1">
      <c r="B88" s="20" t="s">
        <v>392</v>
      </c>
      <c r="C88" s="3" t="s">
        <v>455</v>
      </c>
      <c r="D88" s="8" t="s">
        <v>248</v>
      </c>
      <c r="E88" s="366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7"/>
    </row>
    <row r="89" spans="2:16" ht="30" customHeight="1">
      <c r="B89" s="20" t="s">
        <v>393</v>
      </c>
      <c r="C89" s="3" t="s">
        <v>456</v>
      </c>
      <c r="D89" s="8" t="s">
        <v>256</v>
      </c>
      <c r="E89" s="366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7"/>
    </row>
    <row r="90" spans="2:16" ht="30" customHeight="1">
      <c r="B90" s="20" t="s">
        <v>394</v>
      </c>
      <c r="C90" s="3" t="s">
        <v>457</v>
      </c>
      <c r="D90" s="8" t="s">
        <v>255</v>
      </c>
      <c r="E90" s="366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7"/>
      <c r="K90" s="9">
        <v>0</v>
      </c>
      <c r="L90" s="9">
        <f t="shared" si="22"/>
        <v>0</v>
      </c>
      <c r="M90" s="9">
        <f t="shared" si="23"/>
        <v>0</v>
      </c>
      <c r="N90" s="569" t="s">
        <v>770</v>
      </c>
      <c r="P90" s="297"/>
    </row>
    <row r="91" spans="2:16" ht="30" customHeight="1">
      <c r="B91" s="20" t="s">
        <v>395</v>
      </c>
      <c r="C91" s="3" t="s">
        <v>458</v>
      </c>
      <c r="D91" s="8" t="s">
        <v>256</v>
      </c>
      <c r="E91" s="366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7"/>
    </row>
    <row r="92" spans="2:16" ht="30" customHeight="1">
      <c r="B92" s="20" t="s">
        <v>396</v>
      </c>
      <c r="C92" s="3" t="s">
        <v>638</v>
      </c>
      <c r="D92" s="8" t="s">
        <v>639</v>
      </c>
      <c r="E92" s="366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7"/>
    </row>
    <row r="93" spans="2:16" s="26" customFormat="1" ht="18" customHeight="1" thickBot="1">
      <c r="B93" s="34" t="s">
        <v>9</v>
      </c>
      <c r="C93" s="35"/>
      <c r="D93" s="35"/>
      <c r="E93" s="369"/>
      <c r="F93" s="282">
        <f>SUM(F85:F92)</f>
        <v>38295</v>
      </c>
      <c r="G93" s="282">
        <f>SUM(G85:G92)</f>
        <v>0</v>
      </c>
      <c r="H93" s="282">
        <f>SUM(H85:H92)</f>
        <v>38295</v>
      </c>
      <c r="I93" s="282">
        <f t="shared" ref="I93" si="24">SUM(I85:I91)</f>
        <v>0</v>
      </c>
      <c r="J93" s="282">
        <f>SUM(J85:J91)</f>
        <v>1000</v>
      </c>
      <c r="K93" s="282">
        <f>SUM(K85:K92)</f>
        <v>3933.6</v>
      </c>
      <c r="L93" s="282">
        <f>SUM(L85:L92)</f>
        <v>3933.6</v>
      </c>
      <c r="M93" s="282">
        <f>SUM(M85:M92)</f>
        <v>33361.4</v>
      </c>
      <c r="N93" s="46"/>
      <c r="O93" s="294">
        <f>H93+I93-L93</f>
        <v>34361.4</v>
      </c>
      <c r="P93" s="297">
        <f t="shared" si="18"/>
        <v>-1000</v>
      </c>
    </row>
    <row r="94" spans="2:16" ht="18" customHeight="1" thickTop="1">
      <c r="B94" s="30"/>
      <c r="E94" s="370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7"/>
    </row>
    <row r="95" spans="2:16" ht="18" customHeight="1">
      <c r="B95" s="30"/>
      <c r="E95" s="370"/>
      <c r="N95" s="32"/>
      <c r="P95" s="297"/>
    </row>
    <row r="96" spans="2:16" ht="18" customHeight="1">
      <c r="B96" s="37" t="s">
        <v>21</v>
      </c>
      <c r="E96" s="370"/>
      <c r="N96" s="32"/>
      <c r="P96" s="297"/>
    </row>
    <row r="97" spans="2:16" ht="30" customHeight="1">
      <c r="B97" s="20" t="s">
        <v>397</v>
      </c>
      <c r="C97" s="3" t="s">
        <v>459</v>
      </c>
      <c r="D97" s="8" t="s">
        <v>257</v>
      </c>
      <c r="E97" s="366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7"/>
    </row>
    <row r="98" spans="2:16" s="26" customFormat="1" ht="18" customHeight="1" thickBot="1">
      <c r="B98" s="34" t="s">
        <v>9</v>
      </c>
      <c r="C98" s="35"/>
      <c r="D98" s="35"/>
      <c r="E98" s="369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4">
        <f>H98+I98-L98</f>
        <v>3426.63</v>
      </c>
      <c r="P98" s="297">
        <f t="shared" si="18"/>
        <v>0</v>
      </c>
    </row>
    <row r="99" spans="2:16" ht="18" customHeight="1" thickTop="1">
      <c r="B99" s="30"/>
      <c r="E99" s="370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7"/>
    </row>
    <row r="100" spans="2:16" ht="18" customHeight="1">
      <c r="B100" s="30"/>
      <c r="E100" s="370"/>
      <c r="N100" s="32"/>
      <c r="P100" s="297"/>
    </row>
    <row r="101" spans="2:16" ht="18" customHeight="1">
      <c r="B101" s="37" t="s">
        <v>22</v>
      </c>
      <c r="E101" s="370"/>
      <c r="N101" s="32"/>
      <c r="P101" s="297"/>
    </row>
    <row r="102" spans="2:16" ht="30" customHeight="1">
      <c r="B102" s="20" t="s">
        <v>398</v>
      </c>
      <c r="C102" s="3" t="s">
        <v>460</v>
      </c>
      <c r="D102" s="8" t="s">
        <v>258</v>
      </c>
      <c r="E102" s="366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7"/>
    </row>
    <row r="103" spans="2:16" ht="30" customHeight="1">
      <c r="B103" s="20" t="s">
        <v>399</v>
      </c>
      <c r="C103" s="3" t="s">
        <v>41</v>
      </c>
      <c r="D103" s="8" t="s">
        <v>259</v>
      </c>
      <c r="E103" s="366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7"/>
    </row>
    <row r="104" spans="2:16" s="26" customFormat="1" ht="18" customHeight="1" thickBot="1">
      <c r="B104" s="34" t="s">
        <v>9</v>
      </c>
      <c r="C104" s="35"/>
      <c r="D104" s="35"/>
      <c r="E104" s="369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4">
        <f>H104+I104-L104</f>
        <v>6989.4</v>
      </c>
      <c r="P104" s="297">
        <f t="shared" si="18"/>
        <v>0</v>
      </c>
    </row>
    <row r="105" spans="2:16" ht="18" customHeight="1" thickTop="1">
      <c r="B105" s="47"/>
      <c r="C105" s="48"/>
      <c r="D105" s="48"/>
      <c r="E105" s="373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7"/>
    </row>
    <row r="106" spans="2:16" ht="18" customHeight="1">
      <c r="E106" s="372"/>
      <c r="F106" s="16"/>
      <c r="G106" s="16"/>
      <c r="H106" s="16"/>
      <c r="I106" s="17"/>
      <c r="J106" s="17"/>
      <c r="K106" s="16"/>
      <c r="L106" s="16"/>
      <c r="M106" s="18"/>
      <c r="P106" s="297"/>
    </row>
    <row r="107" spans="2:16" ht="18" customHeight="1">
      <c r="B107" s="598" t="s">
        <v>221</v>
      </c>
      <c r="C107" s="599"/>
      <c r="D107" s="599"/>
      <c r="E107" s="599"/>
      <c r="F107" s="599"/>
      <c r="G107" s="599"/>
      <c r="H107" s="599"/>
      <c r="I107" s="599"/>
      <c r="J107" s="599"/>
      <c r="K107" s="599"/>
      <c r="L107" s="599"/>
      <c r="M107" s="599"/>
      <c r="N107" s="600"/>
      <c r="P107" s="297"/>
    </row>
    <row r="108" spans="2:16" ht="18" customHeight="1">
      <c r="B108" s="601" t="s">
        <v>796</v>
      </c>
      <c r="C108" s="602"/>
      <c r="D108" s="602"/>
      <c r="E108" s="602"/>
      <c r="F108" s="602"/>
      <c r="G108" s="602"/>
      <c r="H108" s="602"/>
      <c r="I108" s="602"/>
      <c r="J108" s="602"/>
      <c r="K108" s="602"/>
      <c r="L108" s="602"/>
      <c r="M108" s="602"/>
      <c r="N108" s="603"/>
      <c r="P108" s="297"/>
    </row>
    <row r="109" spans="2:16" ht="18" customHeight="1">
      <c r="B109" s="30"/>
      <c r="C109" s="31" t="s">
        <v>0</v>
      </c>
      <c r="D109" s="31"/>
      <c r="E109" s="368"/>
      <c r="N109" s="32"/>
      <c r="P109" s="297"/>
    </row>
    <row r="110" spans="2:16" ht="32.25" customHeight="1" thickBot="1">
      <c r="B110" s="457" t="s">
        <v>1</v>
      </c>
      <c r="C110" s="458" t="s">
        <v>2</v>
      </c>
      <c r="D110" s="458"/>
      <c r="E110" s="459"/>
      <c r="F110" s="458" t="s">
        <v>3</v>
      </c>
      <c r="G110" s="460" t="s">
        <v>4</v>
      </c>
      <c r="H110" s="460" t="s">
        <v>5</v>
      </c>
      <c r="I110" s="458" t="s">
        <v>48</v>
      </c>
      <c r="J110" s="458" t="s">
        <v>626</v>
      </c>
      <c r="K110" s="458" t="s">
        <v>47</v>
      </c>
      <c r="L110" s="460" t="s">
        <v>6</v>
      </c>
      <c r="M110" s="461" t="s">
        <v>7</v>
      </c>
      <c r="N110" s="462" t="s">
        <v>29</v>
      </c>
      <c r="P110" s="297"/>
    </row>
    <row r="111" spans="2:16" ht="18" customHeight="1" thickTop="1">
      <c r="B111" s="37" t="s">
        <v>23</v>
      </c>
      <c r="E111" s="370"/>
      <c r="N111" s="32"/>
      <c r="P111" s="297"/>
    </row>
    <row r="112" spans="2:16" ht="30" customHeight="1">
      <c r="B112" s="20" t="s">
        <v>400</v>
      </c>
      <c r="C112" s="3" t="s">
        <v>461</v>
      </c>
      <c r="D112" s="8" t="s">
        <v>260</v>
      </c>
      <c r="E112" s="366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7"/>
    </row>
    <row r="113" spans="2:17" ht="30" customHeight="1">
      <c r="B113" s="20" t="s">
        <v>401</v>
      </c>
      <c r="C113" s="3" t="s">
        <v>462</v>
      </c>
      <c r="D113" s="8" t="s">
        <v>260</v>
      </c>
      <c r="E113" s="366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6"/>
      <c r="P113" s="326">
        <v>3524.16</v>
      </c>
      <c r="Q113" s="326"/>
    </row>
    <row r="114" spans="2:17" ht="30" customHeight="1">
      <c r="B114" s="20" t="s">
        <v>402</v>
      </c>
      <c r="C114" s="3" t="s">
        <v>463</v>
      </c>
      <c r="D114" s="8" t="s">
        <v>260</v>
      </c>
      <c r="E114" s="366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6"/>
      <c r="P114" s="326">
        <v>3524.16</v>
      </c>
    </row>
    <row r="115" spans="2:17" ht="30" customHeight="1">
      <c r="B115" s="20" t="s">
        <v>403</v>
      </c>
      <c r="C115" s="3" t="s">
        <v>648</v>
      </c>
      <c r="D115" s="8" t="s">
        <v>260</v>
      </c>
      <c r="E115" s="366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0"/>
      <c r="O115" s="200"/>
      <c r="P115" s="297"/>
    </row>
    <row r="116" spans="2:17" ht="30" customHeight="1">
      <c r="B116" s="20" t="s">
        <v>404</v>
      </c>
      <c r="C116" s="3" t="s">
        <v>464</v>
      </c>
      <c r="D116" s="8" t="s">
        <v>260</v>
      </c>
      <c r="E116" s="366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7"/>
    </row>
    <row r="117" spans="2:17" s="26" customFormat="1" ht="18" customHeight="1" thickBot="1">
      <c r="B117" s="34" t="s">
        <v>9</v>
      </c>
      <c r="C117" s="35"/>
      <c r="D117" s="35"/>
      <c r="E117" s="369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5">
        <f>H117+I117-L117</f>
        <v>18037.91</v>
      </c>
      <c r="P117" s="297">
        <f t="shared" si="18"/>
        <v>0</v>
      </c>
    </row>
    <row r="118" spans="2:17" ht="18" customHeight="1" thickTop="1">
      <c r="B118" s="30"/>
      <c r="E118" s="370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7"/>
    </row>
    <row r="119" spans="2:17" ht="18" customHeight="1">
      <c r="B119" s="30"/>
      <c r="E119" s="370"/>
      <c r="N119" s="32"/>
      <c r="P119" s="297"/>
    </row>
    <row r="120" spans="2:17" ht="18" customHeight="1">
      <c r="B120" s="37" t="s">
        <v>24</v>
      </c>
      <c r="E120" s="370"/>
      <c r="N120" s="32"/>
      <c r="P120" s="297"/>
    </row>
    <row r="121" spans="2:17" ht="18" customHeight="1">
      <c r="B121" s="23" t="s">
        <v>405</v>
      </c>
      <c r="C121" s="3" t="s">
        <v>658</v>
      </c>
      <c r="D121" s="8" t="s">
        <v>659</v>
      </c>
      <c r="E121" s="366">
        <f>12210/2</f>
        <v>6105</v>
      </c>
      <c r="F121" s="516">
        <f>E121</f>
        <v>6105</v>
      </c>
      <c r="G121" s="3"/>
      <c r="H121" s="313">
        <f>F121</f>
        <v>6105</v>
      </c>
      <c r="I121" s="3"/>
      <c r="J121" s="516"/>
      <c r="K121" s="3">
        <v>657.3</v>
      </c>
      <c r="L121" s="3">
        <f>K121</f>
        <v>657.3</v>
      </c>
      <c r="M121" s="313">
        <f>H121-L121-J121</f>
        <v>5447.7</v>
      </c>
      <c r="N121" s="32"/>
      <c r="P121" s="297"/>
    </row>
    <row r="122" spans="2:17" ht="30" customHeight="1">
      <c r="B122" s="20" t="s">
        <v>406</v>
      </c>
      <c r="C122" s="3" t="s">
        <v>466</v>
      </c>
      <c r="D122" s="8" t="s">
        <v>256</v>
      </c>
      <c r="E122" s="366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7"/>
    </row>
    <row r="123" spans="2:17" s="26" customFormat="1" ht="18" customHeight="1" thickBot="1">
      <c r="B123" s="34" t="s">
        <v>9</v>
      </c>
      <c r="C123" s="35"/>
      <c r="D123" s="35"/>
      <c r="E123" s="369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4">
        <f>H123+I123-L123</f>
        <v>8855.83</v>
      </c>
      <c r="P123" s="297">
        <f t="shared" si="18"/>
        <v>0</v>
      </c>
    </row>
    <row r="124" spans="2:17" ht="18" customHeight="1" thickTop="1">
      <c r="B124" s="47"/>
      <c r="C124" s="48"/>
      <c r="D124" s="48"/>
      <c r="E124" s="373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7"/>
    </row>
    <row r="125" spans="2:17" ht="18" customHeight="1">
      <c r="E125" s="372"/>
      <c r="P125" s="297"/>
    </row>
    <row r="126" spans="2:17" ht="18" customHeight="1">
      <c r="E126" s="372"/>
      <c r="P126" s="297"/>
    </row>
    <row r="127" spans="2:17" ht="18" customHeight="1">
      <c r="E127" s="372"/>
      <c r="P127" s="297"/>
    </row>
    <row r="128" spans="2:17" ht="18" customHeight="1">
      <c r="E128" s="372"/>
      <c r="P128" s="297"/>
    </row>
    <row r="129" spans="2:16" ht="18" customHeight="1">
      <c r="B129" s="598" t="s">
        <v>221</v>
      </c>
      <c r="C129" s="599"/>
      <c r="D129" s="599"/>
      <c r="E129" s="599"/>
      <c r="F129" s="599"/>
      <c r="G129" s="599"/>
      <c r="H129" s="599"/>
      <c r="I129" s="599"/>
      <c r="J129" s="599"/>
      <c r="K129" s="599"/>
      <c r="L129" s="599"/>
      <c r="M129" s="599"/>
      <c r="N129" s="600"/>
      <c r="P129" s="297"/>
    </row>
    <row r="130" spans="2:16" ht="18" customHeight="1">
      <c r="B130" s="601" t="s">
        <v>797</v>
      </c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3"/>
      <c r="P130" s="297"/>
    </row>
    <row r="131" spans="2:16" ht="18" customHeight="1">
      <c r="B131" s="30" t="s">
        <v>278</v>
      </c>
      <c r="C131" s="31" t="s">
        <v>0</v>
      </c>
      <c r="D131" s="31"/>
      <c r="E131" s="368"/>
      <c r="N131" s="32"/>
      <c r="P131" s="297"/>
    </row>
    <row r="132" spans="2:16" ht="26.25" customHeight="1" thickBot="1">
      <c r="B132" s="457" t="s">
        <v>1</v>
      </c>
      <c r="C132" s="458" t="s">
        <v>2</v>
      </c>
      <c r="D132" s="458"/>
      <c r="E132" s="459"/>
      <c r="F132" s="458" t="s">
        <v>3</v>
      </c>
      <c r="G132" s="460" t="s">
        <v>4</v>
      </c>
      <c r="H132" s="460" t="s">
        <v>5</v>
      </c>
      <c r="I132" s="458" t="s">
        <v>48</v>
      </c>
      <c r="J132" s="458" t="s">
        <v>626</v>
      </c>
      <c r="K132" s="458" t="s">
        <v>47</v>
      </c>
      <c r="L132" s="460" t="s">
        <v>6</v>
      </c>
      <c r="M132" s="461" t="s">
        <v>7</v>
      </c>
      <c r="N132" s="462" t="s">
        <v>29</v>
      </c>
      <c r="P132" s="297"/>
    </row>
    <row r="133" spans="2:16" ht="18" customHeight="1" thickTop="1">
      <c r="B133" s="37" t="s">
        <v>25</v>
      </c>
      <c r="E133" s="370"/>
      <c r="N133" s="32"/>
      <c r="P133" s="297"/>
    </row>
    <row r="134" spans="2:16" ht="35.1" customHeight="1">
      <c r="B134" s="20" t="s">
        <v>407</v>
      </c>
      <c r="C134" s="3" t="s">
        <v>42</v>
      </c>
      <c r="D134" s="8" t="s">
        <v>261</v>
      </c>
      <c r="E134" s="366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4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7"/>
    </row>
    <row r="135" spans="2:16" ht="35.1" customHeight="1">
      <c r="B135" s="20" t="s">
        <v>408</v>
      </c>
      <c r="C135" s="3" t="s">
        <v>623</v>
      </c>
      <c r="D135" s="8" t="s">
        <v>262</v>
      </c>
      <c r="E135" s="366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7"/>
    </row>
    <row r="136" spans="2:16" ht="35.1" customHeight="1">
      <c r="B136" s="20" t="s">
        <v>409</v>
      </c>
      <c r="C136" s="3" t="s">
        <v>269</v>
      </c>
      <c r="D136" s="8" t="s">
        <v>263</v>
      </c>
      <c r="E136" s="366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7"/>
    </row>
    <row r="137" spans="2:16" ht="35.1" customHeight="1">
      <c r="B137" s="20" t="s">
        <v>410</v>
      </c>
      <c r="C137" s="3" t="s">
        <v>268</v>
      </c>
      <c r="D137" s="8" t="s">
        <v>264</v>
      </c>
      <c r="E137" s="366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72">
        <v>1000</v>
      </c>
      <c r="K137" s="9">
        <v>317.8</v>
      </c>
      <c r="L137" s="9">
        <f t="shared" si="34"/>
        <v>317.8</v>
      </c>
      <c r="M137" s="9">
        <f>H137+I137-L137-J137</f>
        <v>2733.2</v>
      </c>
      <c r="N137" s="9"/>
      <c r="P137" s="297"/>
    </row>
    <row r="138" spans="2:16" ht="35.1" customHeight="1">
      <c r="B138" s="20" t="s">
        <v>411</v>
      </c>
      <c r="C138" s="3" t="s">
        <v>267</v>
      </c>
      <c r="D138" s="8" t="s">
        <v>256</v>
      </c>
      <c r="E138" s="366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7"/>
    </row>
    <row r="139" spans="2:16" ht="35.1" customHeight="1">
      <c r="B139" s="20" t="s">
        <v>412</v>
      </c>
      <c r="C139" s="3" t="s">
        <v>649</v>
      </c>
      <c r="D139" s="8" t="s">
        <v>256</v>
      </c>
      <c r="E139" s="366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7"/>
    </row>
    <row r="140" spans="2:16" ht="35.1" customHeight="1">
      <c r="B140" s="20" t="s">
        <v>413</v>
      </c>
      <c r="C140" s="3" t="s">
        <v>266</v>
      </c>
      <c r="D140" s="8" t="s">
        <v>256</v>
      </c>
      <c r="E140" s="366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7"/>
    </row>
    <row r="141" spans="2:16" ht="35.1" customHeight="1">
      <c r="B141" s="20" t="s">
        <v>414</v>
      </c>
      <c r="C141" s="3" t="s">
        <v>633</v>
      </c>
      <c r="D141" s="8" t="s">
        <v>264</v>
      </c>
      <c r="E141" s="366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7"/>
    </row>
    <row r="142" spans="2:16" ht="35.1" customHeight="1">
      <c r="B142" s="20" t="s">
        <v>415</v>
      </c>
      <c r="C142" s="3" t="s">
        <v>265</v>
      </c>
      <c r="D142" s="8" t="s">
        <v>264</v>
      </c>
      <c r="E142" s="366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7"/>
    </row>
    <row r="143" spans="2:16" s="26" customFormat="1" ht="18" customHeight="1" thickBot="1">
      <c r="B143" s="34" t="s">
        <v>9</v>
      </c>
      <c r="C143" s="35"/>
      <c r="D143" s="35"/>
      <c r="E143" s="369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1000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30973.52</v>
      </c>
      <c r="N143" s="53"/>
      <c r="O143" s="294">
        <f>H143+I143-L143-J143</f>
        <v>30973.52</v>
      </c>
      <c r="P143" s="297">
        <f t="shared" ref="P143:P174" si="37">M143-O143</f>
        <v>0</v>
      </c>
    </row>
    <row r="144" spans="2:16" ht="18" customHeight="1" thickTop="1">
      <c r="B144" s="30"/>
      <c r="E144" s="370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7"/>
    </row>
    <row r="145" spans="2:16" ht="18" customHeight="1">
      <c r="B145" s="47"/>
      <c r="C145" s="48"/>
      <c r="D145" s="48"/>
      <c r="E145" s="373"/>
      <c r="F145" s="48"/>
      <c r="G145" s="48"/>
      <c r="H145" s="48"/>
      <c r="I145" s="48"/>
      <c r="J145" s="48"/>
      <c r="K145" s="48"/>
      <c r="L145" s="48"/>
      <c r="M145" s="48"/>
      <c r="N145" s="33"/>
      <c r="P145" s="297"/>
    </row>
    <row r="146" spans="2:16" ht="18" customHeight="1">
      <c r="E146" s="372"/>
      <c r="P146" s="297"/>
    </row>
    <row r="147" spans="2:16" ht="18" customHeight="1">
      <c r="E147" s="372"/>
      <c r="P147" s="297"/>
    </row>
    <row r="148" spans="2:16" ht="18" customHeight="1">
      <c r="E148" s="372"/>
      <c r="P148" s="297"/>
    </row>
    <row r="149" spans="2:16" ht="18" customHeight="1">
      <c r="B149" s="598" t="s">
        <v>221</v>
      </c>
      <c r="C149" s="599"/>
      <c r="D149" s="599"/>
      <c r="E149" s="599"/>
      <c r="F149" s="599"/>
      <c r="G149" s="599"/>
      <c r="H149" s="599"/>
      <c r="I149" s="599"/>
      <c r="J149" s="599"/>
      <c r="K149" s="599"/>
      <c r="L149" s="599"/>
      <c r="M149" s="599"/>
      <c r="N149" s="600"/>
      <c r="P149" s="297"/>
    </row>
    <row r="150" spans="2:16" ht="18" customHeight="1">
      <c r="B150" s="601" t="s">
        <v>794</v>
      </c>
      <c r="C150" s="602"/>
      <c r="D150" s="602"/>
      <c r="E150" s="602"/>
      <c r="F150" s="602"/>
      <c r="G150" s="602"/>
      <c r="H150" s="602"/>
      <c r="I150" s="602"/>
      <c r="J150" s="602"/>
      <c r="K150" s="602"/>
      <c r="L150" s="602"/>
      <c r="M150" s="602"/>
      <c r="N150" s="603"/>
      <c r="P150" s="297"/>
    </row>
    <row r="151" spans="2:16" ht="18" customHeight="1">
      <c r="B151" s="30"/>
      <c r="C151" s="31" t="s">
        <v>0</v>
      </c>
      <c r="D151" s="31"/>
      <c r="E151" s="368"/>
      <c r="N151" s="32"/>
      <c r="P151" s="297"/>
    </row>
    <row r="152" spans="2:16" ht="30" customHeight="1" thickBot="1">
      <c r="B152" s="457" t="s">
        <v>1</v>
      </c>
      <c r="C152" s="458" t="s">
        <v>2</v>
      </c>
      <c r="D152" s="458"/>
      <c r="E152" s="459"/>
      <c r="F152" s="458" t="s">
        <v>3</v>
      </c>
      <c r="G152" s="460" t="s">
        <v>4</v>
      </c>
      <c r="H152" s="460" t="s">
        <v>5</v>
      </c>
      <c r="I152" s="458" t="s">
        <v>48</v>
      </c>
      <c r="J152" s="458" t="s">
        <v>626</v>
      </c>
      <c r="K152" s="458" t="s">
        <v>47</v>
      </c>
      <c r="L152" s="460" t="s">
        <v>6</v>
      </c>
      <c r="M152" s="461" t="s">
        <v>7</v>
      </c>
      <c r="N152" s="462" t="s">
        <v>29</v>
      </c>
      <c r="P152" s="297"/>
    </row>
    <row r="153" spans="2:16" ht="18" customHeight="1" thickTop="1">
      <c r="B153" s="37" t="s">
        <v>26</v>
      </c>
      <c r="E153" s="370"/>
      <c r="N153" s="32"/>
      <c r="P153" s="297"/>
    </row>
    <row r="154" spans="2:16" ht="30" customHeight="1">
      <c r="B154" s="23" t="s">
        <v>416</v>
      </c>
      <c r="C154" s="3" t="s">
        <v>707</v>
      </c>
      <c r="D154" s="8" t="s">
        <v>270</v>
      </c>
      <c r="E154" s="366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7"/>
    </row>
    <row r="155" spans="2:16" ht="30" customHeight="1">
      <c r="B155" s="23" t="s">
        <v>417</v>
      </c>
      <c r="C155" s="3" t="s">
        <v>651</v>
      </c>
      <c r="D155" s="8" t="s">
        <v>271</v>
      </c>
      <c r="E155" s="366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7"/>
    </row>
    <row r="156" spans="2:16" s="26" customFormat="1" ht="30" customHeight="1" thickBot="1">
      <c r="B156" s="34" t="s">
        <v>9</v>
      </c>
      <c r="C156" s="35"/>
      <c r="D156" s="35"/>
      <c r="E156" s="369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4">
        <f>H156+I156-L156</f>
        <v>7792.61</v>
      </c>
      <c r="P156" s="297">
        <f t="shared" si="37"/>
        <v>0</v>
      </c>
    </row>
    <row r="157" spans="2:16" ht="18" customHeight="1" thickTop="1">
      <c r="B157" s="30"/>
      <c r="E157" s="370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7"/>
    </row>
    <row r="158" spans="2:16" ht="18" customHeight="1">
      <c r="B158" s="30"/>
      <c r="E158" s="370"/>
      <c r="N158" s="32"/>
      <c r="P158" s="297"/>
    </row>
    <row r="159" spans="2:16" ht="18" customHeight="1">
      <c r="B159" s="37" t="s">
        <v>600</v>
      </c>
      <c r="E159" s="370"/>
      <c r="N159" s="32"/>
      <c r="P159" s="297"/>
    </row>
    <row r="160" spans="2:16" ht="30" customHeight="1">
      <c r="B160" s="23" t="s">
        <v>418</v>
      </c>
      <c r="C160" s="3" t="s">
        <v>683</v>
      </c>
      <c r="D160" s="8" t="s">
        <v>272</v>
      </c>
      <c r="E160" s="366">
        <f>13508/2</f>
        <v>6754</v>
      </c>
      <c r="F160" s="516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7"/>
    </row>
    <row r="161" spans="2:16" s="26" customFormat="1" ht="30" customHeight="1" thickBot="1">
      <c r="B161" s="34" t="s">
        <v>9</v>
      </c>
      <c r="C161" s="35"/>
      <c r="D161" s="35"/>
      <c r="E161" s="369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7">
        <f>H161+I161-L161</f>
        <v>5958.07</v>
      </c>
      <c r="P161" s="297">
        <f t="shared" si="37"/>
        <v>0</v>
      </c>
    </row>
    <row r="162" spans="2:16" ht="18" customHeight="1" thickTop="1">
      <c r="B162" s="30"/>
      <c r="E162" s="370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7"/>
    </row>
    <row r="163" spans="2:16" ht="18" customHeight="1">
      <c r="B163" s="30"/>
      <c r="E163" s="370"/>
      <c r="F163" s="16"/>
      <c r="G163" s="16"/>
      <c r="H163" s="16"/>
      <c r="I163" s="16"/>
      <c r="J163" s="16"/>
      <c r="K163" s="16"/>
      <c r="L163" s="16"/>
      <c r="M163" s="18"/>
      <c r="N163" s="32"/>
      <c r="P163" s="297"/>
    </row>
    <row r="164" spans="2:16" ht="18" customHeight="1">
      <c r="B164" s="598" t="s">
        <v>221</v>
      </c>
      <c r="C164" s="599"/>
      <c r="D164" s="599"/>
      <c r="E164" s="599"/>
      <c r="F164" s="599"/>
      <c r="G164" s="599"/>
      <c r="H164" s="599"/>
      <c r="I164" s="599"/>
      <c r="J164" s="599"/>
      <c r="K164" s="599"/>
      <c r="L164" s="599"/>
      <c r="M164" s="599"/>
      <c r="N164" s="600"/>
      <c r="P164" s="297"/>
    </row>
    <row r="165" spans="2:16" ht="18" customHeight="1">
      <c r="B165" s="601" t="s">
        <v>798</v>
      </c>
      <c r="C165" s="602"/>
      <c r="D165" s="602"/>
      <c r="E165" s="602"/>
      <c r="F165" s="602"/>
      <c r="G165" s="602"/>
      <c r="H165" s="602"/>
      <c r="I165" s="602"/>
      <c r="J165" s="602"/>
      <c r="K165" s="602"/>
      <c r="L165" s="602"/>
      <c r="M165" s="602"/>
      <c r="N165" s="603"/>
      <c r="P165" s="297"/>
    </row>
    <row r="166" spans="2:16" ht="18" customHeight="1">
      <c r="B166" s="30"/>
      <c r="C166" s="31" t="s">
        <v>0</v>
      </c>
      <c r="D166" s="31"/>
      <c r="E166" s="368"/>
      <c r="N166" s="32"/>
      <c r="P166" s="297"/>
    </row>
    <row r="167" spans="2:16" ht="18" customHeight="1">
      <c r="B167" s="37" t="s">
        <v>645</v>
      </c>
      <c r="E167" s="370"/>
      <c r="N167" s="32"/>
      <c r="P167" s="297"/>
    </row>
    <row r="168" spans="2:16" ht="30" customHeight="1">
      <c r="B168" s="23" t="s">
        <v>419</v>
      </c>
      <c r="C168" s="3" t="s">
        <v>49</v>
      </c>
      <c r="D168" s="8" t="s">
        <v>273</v>
      </c>
      <c r="E168" s="366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7"/>
    </row>
    <row r="169" spans="2:16" s="26" customFormat="1" ht="30" customHeight="1" thickBot="1">
      <c r="B169" s="34" t="s">
        <v>9</v>
      </c>
      <c r="C169" s="35"/>
      <c r="D169" s="35"/>
      <c r="E169" s="374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4">
        <f>H169+I169-L169</f>
        <v>6060.3099999999995</v>
      </c>
      <c r="P169" s="297">
        <f t="shared" si="37"/>
        <v>0</v>
      </c>
    </row>
    <row r="170" spans="2:16" ht="18" customHeight="1" thickTop="1">
      <c r="B170" s="47"/>
      <c r="C170" s="48"/>
      <c r="D170" s="48"/>
      <c r="E170" s="375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7"/>
    </row>
    <row r="171" spans="2:16" ht="18" customHeight="1">
      <c r="P171" s="297"/>
    </row>
    <row r="172" spans="2:16" ht="18" customHeight="1">
      <c r="B172" s="37" t="s">
        <v>601</v>
      </c>
      <c r="E172" s="370"/>
      <c r="N172" s="32"/>
      <c r="P172" s="297"/>
    </row>
    <row r="173" spans="2:16" ht="18" customHeight="1">
      <c r="B173" s="23" t="s">
        <v>420</v>
      </c>
      <c r="C173" s="3" t="s">
        <v>424</v>
      </c>
      <c r="D173" s="8" t="s">
        <v>425</v>
      </c>
      <c r="E173" s="366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7"/>
    </row>
    <row r="174" spans="2:16" ht="18" customHeight="1" thickBot="1">
      <c r="B174" s="34" t="s">
        <v>9</v>
      </c>
      <c r="C174" s="35"/>
      <c r="D174" s="35"/>
      <c r="E174" s="369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3">
        <f>H174+I174-L174</f>
        <v>5447.7</v>
      </c>
      <c r="P174" s="297">
        <f t="shared" si="37"/>
        <v>0</v>
      </c>
    </row>
    <row r="175" spans="2:16" ht="18" customHeight="1" thickTop="1">
      <c r="B175" s="47"/>
      <c r="C175" s="48"/>
      <c r="D175" s="48"/>
      <c r="E175" s="373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7"/>
    </row>
    <row r="176" spans="2:16" ht="18" customHeight="1">
      <c r="B176" s="30"/>
      <c r="C176" s="31" t="s">
        <v>0</v>
      </c>
      <c r="D176" s="31"/>
      <c r="E176" s="368"/>
      <c r="N176" s="32"/>
      <c r="P176" s="297"/>
    </row>
    <row r="177" spans="2:17" ht="27.75" customHeight="1" thickBot="1">
      <c r="B177" s="457" t="s">
        <v>1</v>
      </c>
      <c r="C177" s="458" t="s">
        <v>2</v>
      </c>
      <c r="D177" s="458"/>
      <c r="E177" s="459"/>
      <c r="F177" s="458" t="s">
        <v>3</v>
      </c>
      <c r="G177" s="460" t="s">
        <v>4</v>
      </c>
      <c r="H177" s="460" t="s">
        <v>5</v>
      </c>
      <c r="I177" s="458" t="s">
        <v>48</v>
      </c>
      <c r="J177" s="458" t="s">
        <v>626</v>
      </c>
      <c r="K177" s="458" t="s">
        <v>47</v>
      </c>
      <c r="L177" s="460" t="s">
        <v>6</v>
      </c>
      <c r="M177" s="461" t="s">
        <v>7</v>
      </c>
      <c r="N177" s="462" t="s">
        <v>29</v>
      </c>
      <c r="P177" s="297"/>
    </row>
    <row r="178" spans="2:17" ht="18" customHeight="1" thickTop="1">
      <c r="B178" s="37" t="s">
        <v>602</v>
      </c>
      <c r="E178" s="377"/>
      <c r="N178" s="32"/>
      <c r="P178" s="297"/>
    </row>
    <row r="179" spans="2:17" ht="30" customHeight="1">
      <c r="B179" s="23" t="s">
        <v>421</v>
      </c>
      <c r="C179" s="3" t="s">
        <v>650</v>
      </c>
      <c r="D179" s="8" t="s">
        <v>250</v>
      </c>
      <c r="E179" s="366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7"/>
    </row>
    <row r="180" spans="2:17" s="26" customFormat="1" ht="30" customHeight="1" thickBot="1">
      <c r="B180" s="34" t="s">
        <v>9</v>
      </c>
      <c r="C180" s="35"/>
      <c r="D180" s="35"/>
      <c r="E180" s="374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4">
        <f>H180+I180-L180</f>
        <v>4701.75</v>
      </c>
      <c r="P180" s="297">
        <f t="shared" ref="P180" si="43">M180-O180</f>
        <v>0</v>
      </c>
    </row>
    <row r="181" spans="2:17" ht="18" customHeight="1" thickTop="1">
      <c r="B181" s="30"/>
      <c r="E181" s="377"/>
      <c r="F181" s="16"/>
      <c r="G181" s="16"/>
      <c r="H181" s="16"/>
      <c r="I181" s="16"/>
      <c r="J181" s="16"/>
      <c r="K181" s="16"/>
      <c r="L181" s="16"/>
      <c r="M181" s="16"/>
      <c r="N181" s="32"/>
      <c r="P181" s="297"/>
    </row>
    <row r="182" spans="2:17" ht="18" customHeight="1">
      <c r="B182" s="30"/>
      <c r="C182" s="31" t="s">
        <v>0</v>
      </c>
      <c r="D182" s="31"/>
      <c r="E182" s="368"/>
      <c r="N182" s="32"/>
      <c r="P182" s="297"/>
    </row>
    <row r="183" spans="2:17" ht="18" customHeight="1" thickBot="1">
      <c r="B183" s="457" t="s">
        <v>1</v>
      </c>
      <c r="C183" s="458" t="s">
        <v>2</v>
      </c>
      <c r="D183" s="458"/>
      <c r="E183" s="459"/>
      <c r="F183" s="458" t="s">
        <v>3</v>
      </c>
      <c r="G183" s="460" t="s">
        <v>4</v>
      </c>
      <c r="H183" s="460" t="s">
        <v>5</v>
      </c>
      <c r="I183" s="458" t="s">
        <v>48</v>
      </c>
      <c r="J183" s="458" t="s">
        <v>626</v>
      </c>
      <c r="K183" s="458" t="s">
        <v>47</v>
      </c>
      <c r="L183" s="460" t="s">
        <v>6</v>
      </c>
      <c r="M183" s="461" t="s">
        <v>7</v>
      </c>
      <c r="N183" s="462" t="s">
        <v>29</v>
      </c>
      <c r="P183" s="297"/>
    </row>
    <row r="184" spans="2:17" s="26" customFormat="1" ht="18.75" customHeight="1" thickTop="1">
      <c r="B184" s="37" t="s">
        <v>603</v>
      </c>
      <c r="C184" s="19"/>
      <c r="D184" s="19"/>
      <c r="E184" s="377"/>
      <c r="F184" s="19"/>
      <c r="G184" s="19"/>
      <c r="H184" s="19"/>
      <c r="I184" s="19"/>
      <c r="J184" s="19"/>
      <c r="K184" s="19"/>
      <c r="L184" s="19"/>
      <c r="M184" s="19"/>
      <c r="N184" s="46"/>
      <c r="P184" s="297"/>
    </row>
    <row r="185" spans="2:17" s="26" customFormat="1" ht="18.75" customHeight="1">
      <c r="B185" s="23" t="s">
        <v>422</v>
      </c>
      <c r="C185" s="239" t="s">
        <v>479</v>
      </c>
      <c r="D185" s="8" t="s">
        <v>595</v>
      </c>
      <c r="E185" s="378">
        <f>12210/2</f>
        <v>6105</v>
      </c>
      <c r="F185" s="516">
        <v>6738</v>
      </c>
      <c r="G185" s="27">
        <v>0</v>
      </c>
      <c r="H185" s="27">
        <f>F185</f>
        <v>6738</v>
      </c>
      <c r="I185" s="27"/>
      <c r="J185" s="516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7"/>
    </row>
    <row r="186" spans="2:17" s="26" customFormat="1" ht="18.75" customHeight="1">
      <c r="B186" s="37"/>
      <c r="C186" s="19"/>
      <c r="D186" s="19"/>
      <c r="E186" s="377"/>
      <c r="F186" s="292">
        <f>F185</f>
        <v>6738</v>
      </c>
      <c r="G186" s="315">
        <f>SUM(G185)</f>
        <v>0</v>
      </c>
      <c r="H186" s="292">
        <f>SUM(H185)</f>
        <v>6738</v>
      </c>
      <c r="I186" s="292">
        <f t="shared" ref="I186:L186" si="44">SUM(I185)</f>
        <v>0</v>
      </c>
      <c r="J186" s="292">
        <f>SUM(J185)</f>
        <v>0</v>
      </c>
      <c r="K186" s="292">
        <f>SUM(K185)</f>
        <v>792.51</v>
      </c>
      <c r="L186" s="292">
        <f t="shared" si="44"/>
        <v>792.51</v>
      </c>
      <c r="M186" s="292">
        <f>M185</f>
        <v>5945.49</v>
      </c>
      <c r="N186" s="46"/>
      <c r="O186" s="297">
        <f>H186+I186-L186</f>
        <v>5945.49</v>
      </c>
      <c r="P186" s="297">
        <f>M186-O186</f>
        <v>0</v>
      </c>
      <c r="Q186" s="297"/>
    </row>
    <row r="187" spans="2:17" s="26" customFormat="1" ht="18.75" customHeight="1">
      <c r="B187" s="30"/>
      <c r="C187" s="31" t="s">
        <v>0</v>
      </c>
      <c r="D187" s="31"/>
      <c r="E187" s="368"/>
      <c r="F187" s="19"/>
      <c r="G187" s="19"/>
      <c r="H187" s="19"/>
      <c r="I187" s="19"/>
      <c r="J187" s="19"/>
      <c r="K187" s="19"/>
      <c r="L187" s="19"/>
      <c r="M187" s="19"/>
      <c r="N187" s="32"/>
      <c r="O187" s="297"/>
      <c r="P187" s="297"/>
      <c r="Q187" s="297"/>
    </row>
    <row r="188" spans="2:17" s="26" customFormat="1" ht="21.75" customHeight="1" thickBot="1">
      <c r="B188" s="457" t="s">
        <v>1</v>
      </c>
      <c r="C188" s="458" t="s">
        <v>2</v>
      </c>
      <c r="D188" s="458"/>
      <c r="E188" s="459"/>
      <c r="F188" s="458" t="s">
        <v>3</v>
      </c>
      <c r="G188" s="460" t="s">
        <v>4</v>
      </c>
      <c r="H188" s="460" t="s">
        <v>5</v>
      </c>
      <c r="I188" s="458" t="s">
        <v>48</v>
      </c>
      <c r="J188" s="458" t="s">
        <v>626</v>
      </c>
      <c r="K188" s="458" t="s">
        <v>47</v>
      </c>
      <c r="L188" s="460" t="s">
        <v>6</v>
      </c>
      <c r="M188" s="461" t="s">
        <v>7</v>
      </c>
      <c r="N188" s="462" t="s">
        <v>29</v>
      </c>
      <c r="O188" s="297"/>
      <c r="P188" s="297"/>
      <c r="Q188" s="297"/>
    </row>
    <row r="189" spans="2:17" s="26" customFormat="1" ht="18.75" customHeight="1" thickTop="1">
      <c r="B189" s="614" t="s">
        <v>615</v>
      </c>
      <c r="C189" s="615"/>
      <c r="D189" s="309"/>
      <c r="E189" s="379"/>
      <c r="F189" s="309"/>
      <c r="G189" s="310"/>
      <c r="H189" s="310"/>
      <c r="I189" s="309"/>
      <c r="J189" s="309"/>
      <c r="K189" s="309"/>
      <c r="L189" s="310"/>
      <c r="M189" s="311"/>
      <c r="N189" s="312"/>
      <c r="O189" s="297"/>
      <c r="P189" s="297"/>
      <c r="Q189" s="297"/>
    </row>
    <row r="190" spans="2:17" s="26" customFormat="1" ht="18.75" customHeight="1">
      <c r="B190" s="23" t="s">
        <v>423</v>
      </c>
      <c r="C190" s="279" t="s">
        <v>628</v>
      </c>
      <c r="D190" s="316" t="s">
        <v>206</v>
      </c>
      <c r="E190" s="380">
        <f>10384/2</f>
        <v>5192</v>
      </c>
      <c r="F190" s="313">
        <f>E190</f>
        <v>5192</v>
      </c>
      <c r="G190" s="3">
        <v>0</v>
      </c>
      <c r="H190" s="313">
        <f>F190</f>
        <v>5192</v>
      </c>
      <c r="I190" s="3"/>
      <c r="J190" s="3"/>
      <c r="K190" s="3">
        <v>490.25</v>
      </c>
      <c r="L190" s="3">
        <f>K190</f>
        <v>490.25</v>
      </c>
      <c r="M190" s="313">
        <f>F190-L190-J190</f>
        <v>4701.75</v>
      </c>
      <c r="N190" s="314"/>
    </row>
    <row r="191" spans="2:17" s="26" customFormat="1" ht="18.75" customHeight="1">
      <c r="B191" s="37"/>
      <c r="C191"/>
      <c r="D191"/>
      <c r="E191" s="381"/>
      <c r="F191" s="315">
        <f>F190</f>
        <v>5192</v>
      </c>
      <c r="G191" s="291">
        <f>SUM(G190)</f>
        <v>0</v>
      </c>
      <c r="H191" s="315">
        <f>H190</f>
        <v>5192</v>
      </c>
      <c r="I191" s="291"/>
      <c r="J191" s="322">
        <f>SUM(J190)</f>
        <v>0</v>
      </c>
      <c r="K191" s="291">
        <f>K190</f>
        <v>490.25</v>
      </c>
      <c r="L191" s="291">
        <f>L190</f>
        <v>490.25</v>
      </c>
      <c r="M191" s="315">
        <f>M190</f>
        <v>4701.75</v>
      </c>
      <c r="N191" s="46"/>
      <c r="O191" s="297">
        <f>M191</f>
        <v>4701.75</v>
      </c>
    </row>
    <row r="192" spans="2:17" s="26" customFormat="1" ht="18.75" customHeight="1">
      <c r="B192" s="37"/>
      <c r="C192"/>
      <c r="D192"/>
      <c r="E192" s="381"/>
      <c r="F192" s="290"/>
      <c r="G192" s="19"/>
      <c r="H192" s="290"/>
      <c r="I192" s="19"/>
      <c r="J192" s="559"/>
      <c r="K192" s="19"/>
      <c r="L192" s="19"/>
      <c r="M192" s="290"/>
      <c r="N192" s="46"/>
      <c r="O192" s="297"/>
    </row>
    <row r="193" spans="1:15" s="26" customFormat="1" ht="18.75" customHeight="1">
      <c r="B193" s="30"/>
      <c r="C193" s="31" t="s">
        <v>0</v>
      </c>
      <c r="D193" s="31"/>
      <c r="E193" s="368"/>
      <c r="F193" s="19"/>
      <c r="G193" s="19"/>
      <c r="H193" s="19"/>
      <c r="I193" s="19"/>
      <c r="J193" s="19"/>
      <c r="K193" s="19"/>
      <c r="L193" s="19"/>
      <c r="M193" s="19"/>
      <c r="N193" s="32"/>
      <c r="O193" s="297"/>
    </row>
    <row r="194" spans="1:15" s="26" customFormat="1" ht="18.75" customHeight="1" thickBot="1">
      <c r="B194" s="457" t="s">
        <v>1</v>
      </c>
      <c r="C194" s="458" t="s">
        <v>2</v>
      </c>
      <c r="D194" s="458"/>
      <c r="E194" s="459"/>
      <c r="F194" s="458" t="s">
        <v>3</v>
      </c>
      <c r="G194" s="460" t="s">
        <v>4</v>
      </c>
      <c r="H194" s="460" t="s">
        <v>5</v>
      </c>
      <c r="I194" s="458" t="s">
        <v>48</v>
      </c>
      <c r="J194" s="458" t="s">
        <v>626</v>
      </c>
      <c r="K194" s="458" t="s">
        <v>47</v>
      </c>
      <c r="L194" s="460" t="s">
        <v>6</v>
      </c>
      <c r="M194" s="461" t="s">
        <v>7</v>
      </c>
      <c r="N194" s="462" t="s">
        <v>29</v>
      </c>
      <c r="O194" s="297"/>
    </row>
    <row r="195" spans="1:15" s="26" customFormat="1" ht="18.75" customHeight="1" thickTop="1">
      <c r="B195" s="614" t="s">
        <v>727</v>
      </c>
      <c r="C195" s="615"/>
      <c r="D195" s="309"/>
      <c r="E195" s="379"/>
      <c r="F195" s="309"/>
      <c r="G195" s="310"/>
      <c r="H195" s="310"/>
      <c r="I195" s="309"/>
      <c r="J195" s="309"/>
      <c r="K195" s="309"/>
      <c r="L195" s="310"/>
      <c r="M195" s="311"/>
      <c r="N195" s="312"/>
      <c r="O195" s="297"/>
    </row>
    <row r="196" spans="1:15" s="26" customFormat="1" ht="18.75" customHeight="1">
      <c r="B196" s="23" t="s">
        <v>728</v>
      </c>
      <c r="C196" s="279" t="s">
        <v>729</v>
      </c>
      <c r="D196" s="316" t="s">
        <v>206</v>
      </c>
      <c r="E196" s="380">
        <f>10384/2</f>
        <v>5192</v>
      </c>
      <c r="F196" s="313">
        <v>7002</v>
      </c>
      <c r="G196" s="3">
        <v>0</v>
      </c>
      <c r="H196" s="313">
        <f>F196</f>
        <v>7002</v>
      </c>
      <c r="I196" s="3"/>
      <c r="J196" s="3"/>
      <c r="K196" s="3">
        <v>848.9</v>
      </c>
      <c r="L196" s="3">
        <f>K196</f>
        <v>848.9</v>
      </c>
      <c r="M196" s="313">
        <f>F196-L196-J196</f>
        <v>6153.1</v>
      </c>
      <c r="N196" s="314"/>
      <c r="O196" s="297"/>
    </row>
    <row r="197" spans="1:15" s="26" customFormat="1" ht="18.75" customHeight="1">
      <c r="B197" s="37"/>
      <c r="C197"/>
      <c r="D197"/>
      <c r="E197" s="381"/>
      <c r="F197" s="315">
        <f>F196</f>
        <v>7002</v>
      </c>
      <c r="G197" s="291">
        <f>SUM(G196)</f>
        <v>0</v>
      </c>
      <c r="H197" s="315">
        <f>H196</f>
        <v>7002</v>
      </c>
      <c r="I197" s="291"/>
      <c r="J197" s="322">
        <f>SUM(J196)</f>
        <v>0</v>
      </c>
      <c r="K197" s="291">
        <f>K196</f>
        <v>848.9</v>
      </c>
      <c r="L197" s="291">
        <f>L196</f>
        <v>848.9</v>
      </c>
      <c r="M197" s="315">
        <f>M196</f>
        <v>6153.1</v>
      </c>
      <c r="N197" s="46"/>
      <c r="O197" s="297"/>
    </row>
    <row r="198" spans="1:15" s="26" customFormat="1" ht="18.75" customHeight="1">
      <c r="B198" s="37"/>
      <c r="C198"/>
      <c r="D198"/>
      <c r="E198" s="381"/>
      <c r="F198" s="290"/>
      <c r="G198" s="19"/>
      <c r="H198" s="290"/>
      <c r="I198" s="19"/>
      <c r="J198" s="559"/>
      <c r="K198" s="19"/>
      <c r="L198" s="19"/>
      <c r="M198" s="290"/>
      <c r="N198" s="46"/>
      <c r="O198" s="297"/>
    </row>
    <row r="199" spans="1:15" ht="30" customHeight="1" thickBot="1">
      <c r="B199" s="616" t="s">
        <v>27</v>
      </c>
      <c r="C199" s="617"/>
      <c r="D199" s="55"/>
      <c r="E199" s="382"/>
      <c r="F199" s="56">
        <f>F9+F14+F18+F24+F34+F39+F47+F53+F63+F70+F75+F93+F98+F104+F117+F123+F143+F156+F161+F169+F174+F180+F186+F191+F197</f>
        <v>297653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297653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4000</v>
      </c>
      <c r="K199" s="56">
        <f>K9+K14+K18+K24+K34+K39+K47+K53+K63+K70+K75+K93+K98+K104+K117+K123+K143+K156+K161+K169+K174+K180+K186+K191+K197</f>
        <v>30314.439999999995</v>
      </c>
      <c r="L199" s="56">
        <f>L9+L14+L18+L24+L34+L39+L47+L53+L63+L70+L75+L93+L98+L104+L117+L123+L143+L156+L161+L169+L174+L180+L186+L191+L197</f>
        <v>30314.439999999995</v>
      </c>
      <c r="M199" s="234">
        <f>M9+M14+M18+M24+M34+M39+M47+M53+M63+M70+M75+M93+M98+M104+M117+M123+M143+M156+M161+M169+M174+M180+M186+M191+M197</f>
        <v>263451.73</v>
      </c>
      <c r="N199" s="32"/>
    </row>
    <row r="200" spans="1:15" ht="12" thickTop="1">
      <c r="B200" s="30"/>
      <c r="E200" s="377"/>
      <c r="M200" s="235"/>
      <c r="N200" s="32"/>
    </row>
    <row r="201" spans="1:15">
      <c r="A201" s="32"/>
      <c r="C201" s="48"/>
      <c r="E201" s="377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08" t="s">
        <v>465</v>
      </c>
      <c r="C202" s="609"/>
      <c r="D202" s="57"/>
      <c r="E202" s="383"/>
      <c r="F202" s="618" t="s">
        <v>45</v>
      </c>
      <c r="G202" s="618"/>
      <c r="H202" s="618"/>
      <c r="I202" s="166"/>
      <c r="J202" s="166"/>
      <c r="K202" s="59"/>
      <c r="L202" s="609" t="s">
        <v>636</v>
      </c>
      <c r="M202" s="609"/>
      <c r="N202" s="32"/>
    </row>
    <row r="203" spans="1:15">
      <c r="B203" s="610" t="s">
        <v>468</v>
      </c>
      <c r="C203" s="611"/>
      <c r="D203" s="60"/>
      <c r="E203" s="384"/>
      <c r="F203" s="611" t="s">
        <v>468</v>
      </c>
      <c r="G203" s="611"/>
      <c r="H203" s="611"/>
      <c r="I203" s="48"/>
      <c r="J203" s="60"/>
      <c r="K203" s="48"/>
      <c r="L203" s="611" t="s">
        <v>467</v>
      </c>
      <c r="M203" s="611"/>
      <c r="N203" s="33"/>
    </row>
    <row r="207" spans="1:15">
      <c r="C207" s="356"/>
    </row>
    <row r="208" spans="1:15">
      <c r="M208" s="16">
        <f>F199+I199-L199-J199</f>
        <v>263451.73</v>
      </c>
      <c r="O208" s="304">
        <f>SUM(O7:O203)</f>
        <v>259798.62999999998</v>
      </c>
    </row>
    <row r="209" spans="7:13">
      <c r="M209" s="16">
        <f>M199-M208</f>
        <v>0</v>
      </c>
    </row>
    <row r="210" spans="7:13">
      <c r="H210" s="290"/>
      <c r="M210" s="323">
        <f>SUM(M208:M209)</f>
        <v>263451.73</v>
      </c>
    </row>
    <row r="211" spans="7:13">
      <c r="M211" s="293"/>
    </row>
    <row r="212" spans="7:13">
      <c r="G212" s="290">
        <f>SUM(F186+F180+F174+F169+F161+F156+F143+F123+F104+F98+F117+F93+F75+F70+F63+F53+F47+F39+F34+F24+F18+F14+F9)</f>
        <v>285459</v>
      </c>
      <c r="M212" s="293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4"/>
  <sheetViews>
    <sheetView tabSelected="1" topLeftCell="A31" zoomScale="98" zoomScaleNormal="98" workbookViewId="0">
      <selection activeCell="K32" sqref="K32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25" t="s">
        <v>221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2:22" ht="17.25">
      <c r="B4" s="628" t="s">
        <v>799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30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7" t="s">
        <v>157</v>
      </c>
      <c r="C8" s="518">
        <v>0</v>
      </c>
      <c r="D8" s="518"/>
      <c r="E8" s="518"/>
      <c r="F8" s="518"/>
      <c r="G8" s="519" t="s">
        <v>28</v>
      </c>
      <c r="H8" s="518"/>
      <c r="I8" s="620" t="s">
        <v>60</v>
      </c>
      <c r="J8" s="621"/>
      <c r="K8" s="622"/>
      <c r="L8" s="520"/>
      <c r="M8" s="520"/>
      <c r="N8" s="620" t="s">
        <v>61</v>
      </c>
      <c r="O8" s="623"/>
      <c r="P8" s="520"/>
      <c r="Q8" s="631" t="s">
        <v>220</v>
      </c>
    </row>
    <row r="9" spans="2:22" s="125" customFormat="1" ht="12.75" customHeight="1">
      <c r="B9" s="490" t="s">
        <v>158</v>
      </c>
      <c r="C9" s="624" t="s">
        <v>52</v>
      </c>
      <c r="D9" s="624"/>
      <c r="E9" s="624"/>
      <c r="F9" s="491"/>
      <c r="G9" s="492"/>
      <c r="H9" s="494" t="s">
        <v>63</v>
      </c>
      <c r="I9" s="521" t="s">
        <v>3</v>
      </c>
      <c r="J9" s="522" t="s">
        <v>65</v>
      </c>
      <c r="K9" s="523" t="s">
        <v>159</v>
      </c>
      <c r="L9" s="522" t="s">
        <v>67</v>
      </c>
      <c r="M9" s="524" t="s">
        <v>626</v>
      </c>
      <c r="N9" s="525"/>
      <c r="O9" s="526" t="s">
        <v>159</v>
      </c>
      <c r="P9" s="527" t="s">
        <v>160</v>
      </c>
      <c r="Q9" s="632"/>
      <c r="R9" s="334" t="s">
        <v>640</v>
      </c>
      <c r="S9" s="334" t="s">
        <v>641</v>
      </c>
    </row>
    <row r="10" spans="2:22" s="125" customFormat="1" ht="14.25">
      <c r="B10" s="499" t="s">
        <v>161</v>
      </c>
      <c r="C10" s="528" t="s">
        <v>53</v>
      </c>
      <c r="D10" s="529" t="s">
        <v>54</v>
      </c>
      <c r="E10" s="529" t="s">
        <v>55</v>
      </c>
      <c r="F10" s="529" t="s">
        <v>56</v>
      </c>
      <c r="G10" s="530"/>
      <c r="H10" s="529" t="s">
        <v>162</v>
      </c>
      <c r="I10" s="531" t="s">
        <v>163</v>
      </c>
      <c r="J10" s="532" t="s">
        <v>203</v>
      </c>
      <c r="K10" s="533" t="s">
        <v>165</v>
      </c>
      <c r="L10" s="532" t="s">
        <v>166</v>
      </c>
      <c r="M10" s="532"/>
      <c r="N10" s="529" t="s">
        <v>75</v>
      </c>
      <c r="O10" s="529" t="s">
        <v>167</v>
      </c>
      <c r="P10" s="534" t="s">
        <v>168</v>
      </c>
      <c r="Q10" s="633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5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5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6" si="1">(I13+J13)</f>
        <v>6368</v>
      </c>
      <c r="L13" s="91">
        <v>0</v>
      </c>
      <c r="M13" s="554">
        <v>1000</v>
      </c>
      <c r="N13" s="91">
        <v>713.48</v>
      </c>
      <c r="O13" s="91">
        <f t="shared" ref="O13:O36" si="2">N13</f>
        <v>713.48</v>
      </c>
      <c r="P13" s="128">
        <f>K13+L13-O13-M13</f>
        <v>4654.5200000000004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5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6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0" si="4">B14+1</f>
        <v>4</v>
      </c>
      <c r="C15" s="89"/>
      <c r="D15" s="89"/>
      <c r="E15" s="80" t="s">
        <v>211</v>
      </c>
      <c r="F15" s="3" t="s">
        <v>212</v>
      </c>
      <c r="G15" s="385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5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6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3">
        <v>10</v>
      </c>
      <c r="U17" s="273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7"/>
      <c r="D18" s="237"/>
      <c r="E18" s="237" t="s">
        <v>674</v>
      </c>
      <c r="F18" s="3" t="s">
        <v>212</v>
      </c>
      <c r="G18" s="385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>K18+L18-O18-M18</f>
        <v>4225.5</v>
      </c>
      <c r="Q18" s="129"/>
      <c r="R18" s="130" t="s">
        <v>675</v>
      </c>
      <c r="S18" s="566" t="s">
        <v>734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5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605</v>
      </c>
      <c r="F20" s="3" t="s">
        <v>212</v>
      </c>
      <c r="G20" s="385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5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5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3">
        <v>10</v>
      </c>
      <c r="U22" s="274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5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289</v>
      </c>
      <c r="F24" s="3" t="s">
        <v>212</v>
      </c>
      <c r="G24" s="385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290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52" t="s">
        <v>706</v>
      </c>
      <c r="F25" s="3" t="s">
        <v>212</v>
      </c>
      <c r="G25" s="385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2" t="s">
        <v>700</v>
      </c>
      <c r="F26" s="3" t="s">
        <v>212</v>
      </c>
      <c r="G26" s="385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701</v>
      </c>
      <c r="S26" s="132" t="s">
        <v>735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288</v>
      </c>
      <c r="F27" s="3" t="s">
        <v>134</v>
      </c>
      <c r="G27" s="385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294</v>
      </c>
      <c r="F28" s="3" t="s">
        <v>212</v>
      </c>
      <c r="G28" s="385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v>18</v>
      </c>
      <c r="C29" s="96"/>
      <c r="D29" s="96"/>
      <c r="E29" s="96" t="s">
        <v>642</v>
      </c>
      <c r="F29" s="286" t="s">
        <v>212</v>
      </c>
      <c r="G29" s="388">
        <f>9242/2</f>
        <v>4621</v>
      </c>
      <c r="H29" s="318">
        <v>15</v>
      </c>
      <c r="I29" s="99">
        <f>G29</f>
        <v>4621</v>
      </c>
      <c r="J29" s="99"/>
      <c r="K29" s="99">
        <f t="shared" ref="K29:K30" si="6">I29</f>
        <v>4621</v>
      </c>
      <c r="L29" s="82">
        <v>0</v>
      </c>
      <c r="M29" s="82"/>
      <c r="N29" s="82">
        <v>395.5</v>
      </c>
      <c r="O29" s="82">
        <f t="shared" si="2"/>
        <v>395.5</v>
      </c>
      <c r="P29" s="84">
        <f>K29-O29-M29</f>
        <v>4225.5</v>
      </c>
      <c r="Q29" s="129"/>
      <c r="R29" s="132" t="s">
        <v>643</v>
      </c>
      <c r="S29" s="567" t="s">
        <v>736</v>
      </c>
      <c r="T29" s="130"/>
      <c r="U29" s="130"/>
      <c r="V29" s="131"/>
    </row>
    <row r="30" spans="2:22" s="132" customFormat="1" ht="30" customHeight="1">
      <c r="B30" s="89">
        <f t="shared" si="4"/>
        <v>19</v>
      </c>
      <c r="C30" s="237"/>
      <c r="D30" s="237"/>
      <c r="E30" s="237" t="s">
        <v>673</v>
      </c>
      <c r="F30" s="137" t="s">
        <v>212</v>
      </c>
      <c r="G30" s="387">
        <f>9242/2</f>
        <v>4621</v>
      </c>
      <c r="H30" s="138">
        <v>15</v>
      </c>
      <c r="I30" s="136">
        <f>G30</f>
        <v>4621</v>
      </c>
      <c r="J30" s="136"/>
      <c r="K30" s="136">
        <f t="shared" si="6"/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>K30-O30-M30</f>
        <v>4225.5</v>
      </c>
      <c r="Q30" s="129"/>
      <c r="S30" s="568" t="s">
        <v>737</v>
      </c>
      <c r="T30" s="130"/>
      <c r="U30" s="130"/>
      <c r="V30" s="131"/>
    </row>
    <row r="31" spans="2:22" s="132" customFormat="1" ht="30" customHeight="1">
      <c r="B31" s="89">
        <v>20</v>
      </c>
      <c r="C31" s="237"/>
      <c r="D31" s="237"/>
      <c r="E31" s="237" t="s">
        <v>721</v>
      </c>
      <c r="F31" s="137" t="s">
        <v>212</v>
      </c>
      <c r="G31" s="387"/>
      <c r="H31" s="138">
        <v>15</v>
      </c>
      <c r="I31" s="136">
        <v>4621.05</v>
      </c>
      <c r="J31" s="136"/>
      <c r="K31" s="136">
        <v>4621.05</v>
      </c>
      <c r="L31" s="91">
        <v>0</v>
      </c>
      <c r="M31" s="91"/>
      <c r="N31" s="91">
        <v>395.5</v>
      </c>
      <c r="O31" s="91">
        <f t="shared" si="2"/>
        <v>395.5</v>
      </c>
      <c r="P31" s="128">
        <v>4225.55</v>
      </c>
      <c r="Q31" s="129"/>
      <c r="R31" s="132" t="s">
        <v>722</v>
      </c>
      <c r="S31" s="132" t="s">
        <v>738</v>
      </c>
      <c r="T31" s="130"/>
      <c r="U31" s="130"/>
      <c r="V31" s="131"/>
    </row>
    <row r="32" spans="2:22" s="132" customFormat="1" ht="30" customHeight="1">
      <c r="B32" s="89">
        <v>21</v>
      </c>
      <c r="C32" s="237"/>
      <c r="D32" s="237"/>
      <c r="E32" s="237" t="s">
        <v>746</v>
      </c>
      <c r="F32" s="137" t="s">
        <v>212</v>
      </c>
      <c r="G32" s="387"/>
      <c r="H32" s="138">
        <v>15</v>
      </c>
      <c r="I32" s="136">
        <v>4621.05</v>
      </c>
      <c r="J32" s="136"/>
      <c r="K32" s="136">
        <v>4621.05</v>
      </c>
      <c r="L32" s="91">
        <v>0</v>
      </c>
      <c r="M32" s="91"/>
      <c r="N32" s="91">
        <v>395.5</v>
      </c>
      <c r="O32" s="91">
        <f t="shared" si="2"/>
        <v>395.5</v>
      </c>
      <c r="P32" s="128">
        <f>K32-O32</f>
        <v>4225.55</v>
      </c>
      <c r="Q32" s="129"/>
      <c r="R32" s="132" t="s">
        <v>747</v>
      </c>
      <c r="T32" s="130"/>
      <c r="U32" s="130"/>
      <c r="V32" s="131"/>
    </row>
    <row r="33" spans="2:22" s="132" customFormat="1" ht="30" customHeight="1">
      <c r="B33" s="89">
        <v>22</v>
      </c>
      <c r="C33" s="237"/>
      <c r="D33" s="237"/>
      <c r="E33" s="237" t="s">
        <v>767</v>
      </c>
      <c r="F33" s="137" t="s">
        <v>212</v>
      </c>
      <c r="G33" s="387"/>
      <c r="H33" s="138">
        <v>15</v>
      </c>
      <c r="I33" s="136">
        <v>4621.05</v>
      </c>
      <c r="J33" s="136"/>
      <c r="K33" s="136">
        <v>4621.05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4225.55</v>
      </c>
      <c r="Q33" s="129"/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775</v>
      </c>
      <c r="F34" s="137" t="s">
        <v>212</v>
      </c>
      <c r="G34" s="387"/>
      <c r="H34" s="138">
        <v>15</v>
      </c>
      <c r="I34" s="136">
        <v>4621.05</v>
      </c>
      <c r="J34" s="136"/>
      <c r="K34" s="136">
        <v>4621.05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4225.55</v>
      </c>
      <c r="Q34" s="129"/>
      <c r="T34" s="130"/>
      <c r="U34" s="130"/>
      <c r="V34" s="131"/>
    </row>
    <row r="35" spans="2:22" s="132" customFormat="1" ht="30" customHeight="1">
      <c r="B35" s="581">
        <v>24</v>
      </c>
      <c r="C35" s="582"/>
      <c r="D35" s="582"/>
      <c r="E35" s="582" t="s">
        <v>803</v>
      </c>
      <c r="F35" s="583" t="s">
        <v>212</v>
      </c>
      <c r="G35" s="584"/>
      <c r="H35" s="585">
        <v>9</v>
      </c>
      <c r="I35" s="586">
        <v>2772.63</v>
      </c>
      <c r="J35" s="586"/>
      <c r="K35" s="586">
        <v>2772.63</v>
      </c>
      <c r="L35" s="587"/>
      <c r="M35" s="587"/>
      <c r="N35" s="587">
        <v>237.3</v>
      </c>
      <c r="O35" s="587">
        <f t="shared" si="2"/>
        <v>237.3</v>
      </c>
      <c r="P35" s="588">
        <f>K35-O35</f>
        <v>2535.33</v>
      </c>
      <c r="Q35" s="589"/>
      <c r="R35" s="132" t="s">
        <v>804</v>
      </c>
      <c r="T35" s="130"/>
      <c r="U35" s="130"/>
      <c r="V35" s="131"/>
    </row>
    <row r="36" spans="2:22" s="132" customFormat="1" ht="30" customHeight="1">
      <c r="B36" s="89">
        <v>25</v>
      </c>
      <c r="C36" s="89"/>
      <c r="D36" s="89"/>
      <c r="E36" s="89" t="s">
        <v>230</v>
      </c>
      <c r="F36" s="3" t="s">
        <v>231</v>
      </c>
      <c r="G36" s="389">
        <f>4592/2</f>
        <v>2296</v>
      </c>
      <c r="H36" s="93">
        <v>15</v>
      </c>
      <c r="I36" s="91">
        <f>G36</f>
        <v>2296</v>
      </c>
      <c r="J36" s="91"/>
      <c r="K36" s="91">
        <f t="shared" si="1"/>
        <v>2296</v>
      </c>
      <c r="L36" s="91">
        <v>43.13</v>
      </c>
      <c r="M36" s="91"/>
      <c r="N36" s="91"/>
      <c r="O36" s="91">
        <f t="shared" si="2"/>
        <v>0</v>
      </c>
      <c r="P36" s="128">
        <f t="shared" si="3"/>
        <v>2339.13</v>
      </c>
      <c r="Q36" s="360"/>
      <c r="T36" s="130"/>
      <c r="U36" s="130"/>
      <c r="V36" s="131"/>
    </row>
    <row r="37" spans="2:22" s="132" customFormat="1" ht="30" customHeight="1" thickBot="1">
      <c r="B37" s="19"/>
      <c r="C37" s="300" t="s">
        <v>50</v>
      </c>
      <c r="D37" s="300"/>
      <c r="E37" s="300"/>
      <c r="F37" s="300"/>
      <c r="G37" s="300"/>
      <c r="H37" s="300"/>
      <c r="I37" s="301">
        <f t="shared" ref="I37:O37" si="7">SUM(I12:I36)</f>
        <v>120489.83000000002</v>
      </c>
      <c r="J37" s="301">
        <f t="shared" si="7"/>
        <v>0</v>
      </c>
      <c r="K37" s="301">
        <f t="shared" si="7"/>
        <v>120489.83000000002</v>
      </c>
      <c r="L37" s="301">
        <f t="shared" si="7"/>
        <v>43.13</v>
      </c>
      <c r="M37" s="301">
        <f t="shared" si="7"/>
        <v>1000</v>
      </c>
      <c r="N37" s="301">
        <f t="shared" si="7"/>
        <v>11120.14</v>
      </c>
      <c r="O37" s="301">
        <f t="shared" si="7"/>
        <v>11120.14</v>
      </c>
      <c r="P37" s="302">
        <f>SUM(P12:P36)</f>
        <v>108412.82000000002</v>
      </c>
      <c r="R37" s="131"/>
      <c r="S37" s="131"/>
    </row>
    <row r="38" spans="2:22" ht="12" thickTop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132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236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2:22">
      <c r="B42" s="139"/>
      <c r="C42" s="139"/>
      <c r="D42" s="139"/>
      <c r="E42" s="139"/>
      <c r="F42" s="139"/>
      <c r="G42" s="139" t="s">
        <v>28</v>
      </c>
      <c r="H42" s="139"/>
      <c r="I42" s="139"/>
      <c r="J42" s="139"/>
      <c r="K42" s="139"/>
      <c r="L42" s="139"/>
      <c r="M42" s="139"/>
      <c r="N42" s="141"/>
      <c r="O42" s="139"/>
      <c r="P42" s="142"/>
    </row>
    <row r="43" spans="2:22">
      <c r="G43" s="69"/>
      <c r="H43" s="69"/>
      <c r="I43" s="69"/>
      <c r="J43" s="69"/>
      <c r="K43" s="69"/>
      <c r="L43" s="69"/>
    </row>
    <row r="44" spans="2:22" ht="13.5" customHeight="1">
      <c r="B44" s="604" t="s">
        <v>465</v>
      </c>
      <c r="C44" s="604"/>
      <c r="D44" s="604"/>
      <c r="E44" s="604"/>
      <c r="F44" s="6"/>
      <c r="G44" s="619" t="s">
        <v>45</v>
      </c>
      <c r="H44" s="619"/>
      <c r="I44" s="619"/>
      <c r="J44" s="619"/>
      <c r="K44" s="619"/>
      <c r="L44" s="619"/>
      <c r="M44" s="321"/>
      <c r="N44" s="6"/>
      <c r="O44" s="619" t="s">
        <v>637</v>
      </c>
      <c r="P44" s="619"/>
      <c r="Q44" s="619"/>
    </row>
    <row r="45" spans="2:22" ht="12.75">
      <c r="B45" s="605" t="s">
        <v>150</v>
      </c>
      <c r="C45" s="605"/>
      <c r="D45" s="605"/>
      <c r="E45" s="605"/>
      <c r="F45" s="6"/>
      <c r="G45" s="6"/>
      <c r="H45" s="6" t="s">
        <v>151</v>
      </c>
      <c r="I45" s="6"/>
      <c r="J45" s="6"/>
      <c r="K45" s="6"/>
      <c r="L45" s="6"/>
      <c r="M45" s="6"/>
      <c r="N45" s="6" t="s">
        <v>152</v>
      </c>
      <c r="O45" s="605" t="s">
        <v>30</v>
      </c>
      <c r="P45" s="605"/>
      <c r="Q45" s="605"/>
    </row>
    <row r="46" spans="2:22">
      <c r="K46" s="143"/>
    </row>
    <row r="47" spans="2:22">
      <c r="P47" s="143"/>
    </row>
    <row r="48" spans="2:22">
      <c r="P48" s="143"/>
    </row>
    <row r="49" spans="16:16">
      <c r="P49" s="201"/>
    </row>
    <row r="53" spans="16:16">
      <c r="P53" s="298">
        <f>K37+L37-O37-M37</f>
        <v>108412.82000000002</v>
      </c>
    </row>
    <row r="54" spans="16:16">
      <c r="P54" s="298">
        <f>P37-P53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4:E44"/>
    <mergeCell ref="O44:Q44"/>
    <mergeCell ref="B45:E45"/>
    <mergeCell ref="O45:Q45"/>
    <mergeCell ref="G44:L44"/>
  </mergeCells>
  <printOptions horizontalCentered="1"/>
  <pageMargins left="0.70866141732283472" right="0.70866141732283472" top="0.43307086614173229" bottom="0.43307086614173229" header="0.31496062992125984" footer="0.31496062992125984"/>
  <pageSetup paperSize="14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8" workbookViewId="0">
      <selection activeCell="L28" sqref="L28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4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38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6"/>
    </row>
    <row r="3" spans="2:17" s="61" customFormat="1" ht="19.5">
      <c r="B3" s="625" t="s">
        <v>221</v>
      </c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7"/>
    </row>
    <row r="4" spans="2:17" s="61" customFormat="1" ht="17.25">
      <c r="B4" s="646" t="s">
        <v>800</v>
      </c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30"/>
    </row>
    <row r="5" spans="2:17" s="61" customFormat="1" ht="12.75">
      <c r="B5" s="121"/>
      <c r="C5" s="120"/>
      <c r="D5" s="120"/>
      <c r="E5" s="120"/>
      <c r="F5" s="120"/>
      <c r="G5" s="120"/>
      <c r="H5" s="390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1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2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3"/>
      <c r="I8" s="149"/>
      <c r="J8" s="640" t="s">
        <v>60</v>
      </c>
      <c r="K8" s="641"/>
      <c r="L8" s="642"/>
      <c r="M8" s="151"/>
      <c r="N8" s="640" t="s">
        <v>61</v>
      </c>
      <c r="O8" s="643"/>
      <c r="P8" s="151"/>
      <c r="Q8" s="152"/>
    </row>
    <row r="9" spans="2:17" ht="18" customHeight="1">
      <c r="B9" s="490" t="s">
        <v>158</v>
      </c>
      <c r="C9" s="624" t="s">
        <v>52</v>
      </c>
      <c r="D9" s="624"/>
      <c r="E9" s="624"/>
      <c r="F9" s="491"/>
      <c r="G9" s="492"/>
      <c r="H9" s="493"/>
      <c r="I9" s="494" t="s">
        <v>63</v>
      </c>
      <c r="J9" s="495" t="s">
        <v>3</v>
      </c>
      <c r="K9" s="496" t="s">
        <v>65</v>
      </c>
      <c r="L9" s="497" t="s">
        <v>159</v>
      </c>
      <c r="M9" s="496"/>
      <c r="N9" s="649" t="s">
        <v>631</v>
      </c>
      <c r="O9" s="650"/>
      <c r="P9" s="498" t="s">
        <v>160</v>
      </c>
      <c r="Q9" s="647" t="s">
        <v>29</v>
      </c>
    </row>
    <row r="10" spans="2:17" ht="18" customHeight="1">
      <c r="B10" s="499" t="s">
        <v>161</v>
      </c>
      <c r="C10" s="500" t="s">
        <v>53</v>
      </c>
      <c r="D10" s="501" t="s">
        <v>54</v>
      </c>
      <c r="E10" s="501" t="s">
        <v>55</v>
      </c>
      <c r="F10" s="501" t="s">
        <v>56</v>
      </c>
      <c r="G10" s="502" t="s">
        <v>57</v>
      </c>
      <c r="H10" s="503"/>
      <c r="I10" s="501" t="s">
        <v>162</v>
      </c>
      <c r="J10" s="504" t="s">
        <v>163</v>
      </c>
      <c r="K10" s="505" t="s">
        <v>164</v>
      </c>
      <c r="L10" s="506" t="s">
        <v>165</v>
      </c>
      <c r="M10" s="505" t="s">
        <v>626</v>
      </c>
      <c r="N10" s="501" t="s">
        <v>75</v>
      </c>
      <c r="O10" s="501" t="s">
        <v>167</v>
      </c>
      <c r="P10" s="507" t="s">
        <v>168</v>
      </c>
      <c r="Q10" s="648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611</v>
      </c>
      <c r="G12" s="3" t="s">
        <v>173</v>
      </c>
      <c r="H12" s="395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5">
        <v>4621</v>
      </c>
      <c r="I13" s="3">
        <v>15</v>
      </c>
      <c r="J13" s="83">
        <f>H13</f>
        <v>4621</v>
      </c>
      <c r="K13" s="156"/>
      <c r="L13" s="82">
        <f t="shared" ref="L13:L27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5">
        <f>9242/2</f>
        <v>4621</v>
      </c>
      <c r="I14" s="3">
        <v>15</v>
      </c>
      <c r="J14" s="83">
        <f t="shared" ref="J14:J25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5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1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5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5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5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5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5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5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61">
        <v>2000</v>
      </c>
      <c r="N21" s="91">
        <v>395.5</v>
      </c>
      <c r="O21" s="82">
        <f t="shared" si="1"/>
        <v>395.5</v>
      </c>
      <c r="P21" s="158">
        <f>L21-M21-O21</f>
        <v>2225.5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5">
        <f t="shared" si="4"/>
        <v>4621</v>
      </c>
      <c r="I22" s="133">
        <v>15</v>
      </c>
      <c r="J22" s="83">
        <f t="shared" si="3"/>
        <v>4621</v>
      </c>
      <c r="K22" s="335"/>
      <c r="L22" s="82">
        <f t="shared" si="0"/>
        <v>4621</v>
      </c>
      <c r="M22" s="555"/>
      <c r="N22" s="91">
        <v>395.5</v>
      </c>
      <c r="O22" s="82">
        <f t="shared" si="1"/>
        <v>395.5</v>
      </c>
      <c r="P22" s="336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5">
        <f>9242/2</f>
        <v>4621</v>
      </c>
      <c r="I23" s="3">
        <v>15</v>
      </c>
      <c r="J23" s="83">
        <f t="shared" si="3"/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6" t="s">
        <v>229</v>
      </c>
      <c r="F24" s="137" t="s">
        <v>172</v>
      </c>
      <c r="G24" s="137"/>
      <c r="H24" s="396">
        <f>9242/2</f>
        <v>4621</v>
      </c>
      <c r="I24" s="137">
        <v>15</v>
      </c>
      <c r="J24" s="83">
        <f t="shared" si="3"/>
        <v>4621</v>
      </c>
      <c r="K24" s="160"/>
      <c r="L24" s="82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7">
        <f>9242/2</f>
        <v>4621</v>
      </c>
      <c r="I25" s="161">
        <v>15</v>
      </c>
      <c r="J25" s="83">
        <f t="shared" si="3"/>
        <v>4621</v>
      </c>
      <c r="K25" s="289"/>
      <c r="L25" s="82">
        <f t="shared" si="0"/>
        <v>4621</v>
      </c>
      <c r="M25" s="289"/>
      <c r="N25" s="289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779</v>
      </c>
    </row>
    <row r="26" spans="2:18" ht="24.75" customHeight="1">
      <c r="B26" s="3">
        <v>15</v>
      </c>
      <c r="C26" s="161" t="s">
        <v>715</v>
      </c>
      <c r="D26" s="161" t="s">
        <v>113</v>
      </c>
      <c r="E26" s="161" t="s">
        <v>716</v>
      </c>
      <c r="F26" s="161" t="s">
        <v>172</v>
      </c>
      <c r="G26" s="161"/>
      <c r="H26" s="397"/>
      <c r="I26" s="161">
        <v>15</v>
      </c>
      <c r="J26" s="83">
        <v>4621</v>
      </c>
      <c r="K26" s="289"/>
      <c r="L26" s="82">
        <f t="shared" si="0"/>
        <v>4621</v>
      </c>
      <c r="M26" s="289"/>
      <c r="N26" s="289">
        <v>395.5</v>
      </c>
      <c r="O26" s="82">
        <f t="shared" si="1"/>
        <v>395.5</v>
      </c>
      <c r="P26" s="90">
        <f>L26-O26</f>
        <v>4225.5</v>
      </c>
      <c r="Q26" s="161"/>
      <c r="R26" s="132" t="s">
        <v>778</v>
      </c>
    </row>
    <row r="27" spans="2:18" ht="24.75" customHeight="1">
      <c r="B27" s="3">
        <v>16</v>
      </c>
      <c r="C27" s="161" t="s">
        <v>787</v>
      </c>
      <c r="D27" s="161" t="s">
        <v>788</v>
      </c>
      <c r="E27" s="161" t="s">
        <v>789</v>
      </c>
      <c r="F27" s="161" t="s">
        <v>172</v>
      </c>
      <c r="G27" s="161"/>
      <c r="H27" s="397"/>
      <c r="I27" s="161">
        <v>15</v>
      </c>
      <c r="J27" s="83">
        <v>4621</v>
      </c>
      <c r="K27" s="289"/>
      <c r="L27" s="82">
        <f t="shared" si="0"/>
        <v>4621</v>
      </c>
      <c r="M27" s="289"/>
      <c r="N27" s="289">
        <v>395.5</v>
      </c>
      <c r="O27" s="82">
        <f t="shared" si="1"/>
        <v>395.5</v>
      </c>
      <c r="P27" s="90">
        <v>4225.5</v>
      </c>
      <c r="Q27" s="161"/>
      <c r="R27" s="573" t="s">
        <v>790</v>
      </c>
    </row>
    <row r="28" spans="2:18" ht="22.5" customHeight="1" thickBot="1">
      <c r="B28" s="644" t="s">
        <v>50</v>
      </c>
      <c r="C28" s="645"/>
      <c r="D28" s="645"/>
      <c r="E28" s="645"/>
      <c r="F28" s="645"/>
      <c r="G28" s="645"/>
      <c r="H28" s="645"/>
      <c r="I28" s="645"/>
      <c r="J28" s="287">
        <f>SUM(J12:J27)</f>
        <v>76069</v>
      </c>
      <c r="K28" s="287">
        <f t="shared" ref="K28" si="5">SUM(K12:K25)</f>
        <v>0</v>
      </c>
      <c r="L28" s="287">
        <f>SUM(L12:L27)</f>
        <v>76069</v>
      </c>
      <c r="M28" s="287">
        <f>SUM(M12:M25)</f>
        <v>3000</v>
      </c>
      <c r="N28" s="287">
        <f>SUM(N12:N27)</f>
        <v>6728.43</v>
      </c>
      <c r="O28" s="287">
        <f>SUM(O12:O27)</f>
        <v>6728.43</v>
      </c>
      <c r="P28" s="288">
        <f>SUM(P12:P27)</f>
        <v>66340.570000000007</v>
      </c>
      <c r="Q28" s="162"/>
    </row>
    <row r="29" spans="2:18" ht="22.5" customHeight="1" thickTop="1">
      <c r="B29" s="163"/>
      <c r="C29" s="163"/>
      <c r="D29" s="163"/>
      <c r="E29" s="163"/>
      <c r="F29" s="163"/>
      <c r="G29" s="163"/>
      <c r="H29" s="398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8" ht="22.5" customHeight="1">
      <c r="B30" s="163"/>
      <c r="C30" s="163"/>
      <c r="D30" s="163"/>
      <c r="E30" s="163"/>
      <c r="F30" s="163"/>
      <c r="G30" s="163"/>
      <c r="H30" s="398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8" ht="22.5" customHeight="1">
      <c r="B31" s="167"/>
      <c r="C31" s="167"/>
      <c r="D31" s="167"/>
      <c r="E31" s="167"/>
      <c r="F31" s="163"/>
      <c r="G31" s="163"/>
      <c r="H31" s="398"/>
      <c r="I31" s="637"/>
      <c r="J31" s="637"/>
      <c r="K31" s="637"/>
      <c r="L31" s="637"/>
      <c r="M31" s="637"/>
      <c r="N31" s="164"/>
      <c r="O31" s="635"/>
      <c r="P31" s="635"/>
      <c r="Q31" s="635"/>
    </row>
    <row r="32" spans="2:18" ht="15" customHeight="1">
      <c r="B32" s="634" t="s">
        <v>465</v>
      </c>
      <c r="C32" s="634"/>
      <c r="D32" s="634"/>
      <c r="E32" s="634"/>
      <c r="F32" s="166"/>
      <c r="G32" s="166"/>
      <c r="H32" s="399"/>
      <c r="I32" s="634" t="s">
        <v>45</v>
      </c>
      <c r="J32" s="634"/>
      <c r="K32" s="634"/>
      <c r="L32" s="634"/>
      <c r="M32" s="634"/>
      <c r="O32" s="634" t="s">
        <v>637</v>
      </c>
      <c r="P32" s="634"/>
      <c r="Q32" s="634"/>
    </row>
    <row r="33" spans="2:17" ht="12.75">
      <c r="B33" s="634" t="s">
        <v>150</v>
      </c>
      <c r="C33" s="634"/>
      <c r="D33" s="634"/>
      <c r="E33" s="634"/>
      <c r="F33" s="166"/>
      <c r="I33" s="634" t="s">
        <v>151</v>
      </c>
      <c r="J33" s="634"/>
      <c r="K33" s="634"/>
      <c r="L33" s="634"/>
      <c r="M33" s="634"/>
      <c r="O33" s="636" t="s">
        <v>725</v>
      </c>
      <c r="P33" s="636"/>
      <c r="Q33" s="636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66340.570000000007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8" workbookViewId="0">
      <selection activeCell="M35" sqref="M3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1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0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55" t="s">
        <v>221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7"/>
    </row>
    <row r="4" spans="2:21" ht="17.25">
      <c r="B4" s="628" t="s">
        <v>801</v>
      </c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9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588</v>
      </c>
      <c r="D6" s="280"/>
      <c r="E6" s="73"/>
      <c r="F6" s="73"/>
      <c r="G6" s="73"/>
      <c r="H6" s="73"/>
      <c r="I6" s="73"/>
      <c r="J6" s="402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9" t="s">
        <v>59</v>
      </c>
      <c r="C7" s="430"/>
      <c r="D7" s="430"/>
      <c r="E7" s="430"/>
      <c r="F7" s="652"/>
      <c r="G7" s="652"/>
      <c r="H7" s="652"/>
      <c r="I7" s="431"/>
      <c r="J7" s="432"/>
      <c r="K7" s="651" t="s">
        <v>60</v>
      </c>
      <c r="L7" s="651"/>
      <c r="M7" s="651"/>
      <c r="N7" s="651"/>
      <c r="O7" s="651"/>
      <c r="P7" s="653" t="s">
        <v>61</v>
      </c>
      <c r="Q7" s="654"/>
      <c r="R7" s="433"/>
      <c r="S7" s="660" t="s">
        <v>29</v>
      </c>
    </row>
    <row r="8" spans="2:21">
      <c r="B8" s="434" t="s">
        <v>62</v>
      </c>
      <c r="C8" s="435" t="s">
        <v>52</v>
      </c>
      <c r="D8" s="436"/>
      <c r="E8" s="436"/>
      <c r="F8" s="437"/>
      <c r="G8" s="438"/>
      <c r="H8" s="439" t="s">
        <v>63</v>
      </c>
      <c r="I8" s="439"/>
      <c r="J8" s="440"/>
      <c r="K8" s="441" t="s">
        <v>64</v>
      </c>
      <c r="L8" s="442" t="s">
        <v>65</v>
      </c>
      <c r="M8" s="441" t="s">
        <v>66</v>
      </c>
      <c r="N8" s="441" t="s">
        <v>67</v>
      </c>
      <c r="O8" s="441"/>
      <c r="P8" s="441"/>
      <c r="Q8" s="441" t="s">
        <v>68</v>
      </c>
      <c r="R8" s="443"/>
      <c r="S8" s="661"/>
    </row>
    <row r="9" spans="2:21">
      <c r="B9" s="444" t="s">
        <v>69</v>
      </c>
      <c r="C9" s="445" t="s">
        <v>53</v>
      </c>
      <c r="D9" s="445" t="s">
        <v>54</v>
      </c>
      <c r="E9" s="445" t="s">
        <v>55</v>
      </c>
      <c r="F9" s="445" t="s">
        <v>56</v>
      </c>
      <c r="G9" s="446" t="s">
        <v>57</v>
      </c>
      <c r="H9" s="447" t="s">
        <v>70</v>
      </c>
      <c r="I9" s="447"/>
      <c r="J9" s="448"/>
      <c r="K9" s="449" t="s">
        <v>71</v>
      </c>
      <c r="L9" s="450" t="s">
        <v>72</v>
      </c>
      <c r="M9" s="449" t="s">
        <v>73</v>
      </c>
      <c r="N9" s="449" t="s">
        <v>74</v>
      </c>
      <c r="O9" s="449" t="s">
        <v>626</v>
      </c>
      <c r="P9" s="449" t="s">
        <v>75</v>
      </c>
      <c r="Q9" s="449" t="s">
        <v>76</v>
      </c>
      <c r="R9" s="451" t="s">
        <v>77</v>
      </c>
      <c r="S9" s="662"/>
    </row>
    <row r="10" spans="2:21">
      <c r="B10" s="114"/>
      <c r="C10" s="76"/>
      <c r="D10" s="76"/>
      <c r="E10" s="76"/>
      <c r="F10" s="76"/>
      <c r="G10" s="76"/>
      <c r="H10" s="76"/>
      <c r="I10" s="76"/>
      <c r="J10" s="403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4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4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4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4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5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4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4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4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4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5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4">
        <f>6006/2</f>
        <v>3003</v>
      </c>
      <c r="K21" s="556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6">
        <f>5166/2</f>
        <v>2583</v>
      </c>
      <c r="K22" s="557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7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277</v>
      </c>
      <c r="G24" s="80"/>
      <c r="H24" s="80">
        <v>15</v>
      </c>
      <c r="I24" s="100">
        <f t="shared" si="5"/>
        <v>142.93333333333334</v>
      </c>
      <c r="J24" s="407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7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7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295</v>
      </c>
      <c r="D27" s="2" t="s">
        <v>181</v>
      </c>
      <c r="E27" s="2" t="s">
        <v>296</v>
      </c>
      <c r="F27" s="116" t="s">
        <v>276</v>
      </c>
      <c r="G27" s="80"/>
      <c r="H27" s="80">
        <v>15</v>
      </c>
      <c r="I27" s="100">
        <f t="shared" si="5"/>
        <v>279.2</v>
      </c>
      <c r="J27" s="407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7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7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7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7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7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8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7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63" t="s">
        <v>58</v>
      </c>
      <c r="C35" s="664"/>
      <c r="D35" s="664"/>
      <c r="E35" s="664"/>
      <c r="F35" s="665"/>
      <c r="G35" s="103"/>
      <c r="H35" s="105"/>
      <c r="I35" s="104"/>
      <c r="J35" s="409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3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0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19" t="s">
        <v>724</v>
      </c>
      <c r="C38" s="619"/>
      <c r="D38" s="619"/>
      <c r="E38" s="619"/>
      <c r="F38" s="76"/>
      <c r="G38" s="76"/>
      <c r="H38" s="76"/>
      <c r="I38" s="76"/>
      <c r="J38" s="403"/>
      <c r="K38" s="77"/>
      <c r="L38" s="77"/>
      <c r="M38" s="77"/>
      <c r="N38" s="77"/>
      <c r="O38" s="321"/>
      <c r="P38" s="619" t="s">
        <v>637</v>
      </c>
      <c r="Q38" s="619"/>
      <c r="R38" s="619"/>
      <c r="S38" s="76"/>
    </row>
    <row r="39" spans="1:21" ht="15" customHeight="1">
      <c r="A39" s="76"/>
      <c r="B39" s="605" t="s">
        <v>723</v>
      </c>
      <c r="C39" s="605"/>
      <c r="D39" s="605"/>
      <c r="E39" s="605"/>
      <c r="F39" s="605" t="s">
        <v>151</v>
      </c>
      <c r="G39" s="605"/>
      <c r="H39" s="605"/>
      <c r="I39" s="605"/>
      <c r="J39" s="605"/>
      <c r="K39" s="605"/>
      <c r="L39" s="605"/>
      <c r="M39" s="605"/>
      <c r="N39" s="6"/>
      <c r="O39" s="6"/>
      <c r="P39" s="605" t="s">
        <v>30</v>
      </c>
      <c r="Q39" s="605"/>
      <c r="R39" s="605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3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605"/>
      <c r="G52" s="605"/>
      <c r="H52" s="605"/>
      <c r="I52" s="605"/>
      <c r="J52" s="605"/>
      <c r="K52" s="605"/>
      <c r="L52" s="605"/>
      <c r="M52" s="605"/>
      <c r="N52" s="605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67" t="s">
        <v>714</v>
      </c>
      <c r="B2" s="667"/>
    </row>
    <row r="3" spans="1:3" ht="7.5" customHeight="1">
      <c r="A3" s="261"/>
      <c r="B3" s="261"/>
    </row>
    <row r="4" spans="1:3">
      <c r="A4" s="666" t="s">
        <v>589</v>
      </c>
      <c r="B4" s="666"/>
    </row>
    <row r="6" spans="1:3">
      <c r="A6" s="183" t="s">
        <v>291</v>
      </c>
      <c r="B6" s="183" t="s">
        <v>292</v>
      </c>
      <c r="C6" s="183" t="s">
        <v>293</v>
      </c>
    </row>
    <row r="7" spans="1:3">
      <c r="A7" s="183"/>
      <c r="B7" s="183"/>
      <c r="C7" s="184"/>
    </row>
    <row r="8" spans="1:3">
      <c r="A8" s="183" t="s">
        <v>618</v>
      </c>
      <c r="B8" s="183" t="s">
        <v>311</v>
      </c>
      <c r="C8" s="184">
        <v>1312.5</v>
      </c>
    </row>
    <row r="9" spans="1:3">
      <c r="A9" s="183" t="s">
        <v>684</v>
      </c>
      <c r="B9" s="183" t="s">
        <v>685</v>
      </c>
      <c r="C9" s="184">
        <v>1902.6</v>
      </c>
    </row>
    <row r="10" spans="1:3">
      <c r="A10" s="183" t="s">
        <v>752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topLeftCell="A4" workbookViewId="0">
      <selection activeCell="G25" sqref="G25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96"/>
      <c r="D1" s="597"/>
      <c r="E1" s="597"/>
      <c r="F1" s="597"/>
      <c r="G1" s="597"/>
      <c r="H1" s="597"/>
      <c r="I1" s="29"/>
      <c r="J1" s="29"/>
      <c r="K1" s="29"/>
      <c r="L1" s="29"/>
    </row>
    <row r="2" spans="2:15" ht="19.5">
      <c r="B2" s="598" t="s">
        <v>221</v>
      </c>
      <c r="C2" s="599"/>
      <c r="D2" s="599"/>
      <c r="E2" s="599"/>
      <c r="F2" s="599"/>
      <c r="G2" s="599"/>
      <c r="H2" s="599"/>
      <c r="I2" s="599"/>
      <c r="J2" s="599"/>
      <c r="K2" s="599"/>
      <c r="L2" s="600"/>
    </row>
    <row r="3" spans="2:15">
      <c r="B3" s="601" t="s">
        <v>802</v>
      </c>
      <c r="C3" s="602"/>
      <c r="D3" s="602"/>
      <c r="E3" s="602"/>
      <c r="F3" s="602"/>
      <c r="G3" s="602"/>
      <c r="H3" s="602"/>
      <c r="I3" s="602"/>
      <c r="J3" s="602"/>
      <c r="K3" s="602"/>
      <c r="L3" s="603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8" t="s">
        <v>1</v>
      </c>
      <c r="C6" s="509" t="s">
        <v>2</v>
      </c>
      <c r="D6" s="509" t="s">
        <v>3</v>
      </c>
      <c r="E6" s="509" t="s">
        <v>236</v>
      </c>
      <c r="F6" s="510" t="s">
        <v>4</v>
      </c>
      <c r="G6" s="510" t="s">
        <v>5</v>
      </c>
      <c r="H6" s="509" t="s">
        <v>48</v>
      </c>
      <c r="I6" s="509" t="s">
        <v>47</v>
      </c>
      <c r="J6" s="510" t="s">
        <v>6</v>
      </c>
      <c r="K6" s="511" t="s">
        <v>7</v>
      </c>
      <c r="L6" s="512" t="s">
        <v>29</v>
      </c>
    </row>
    <row r="7" spans="2:15">
      <c r="B7" s="54" t="s">
        <v>375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278</v>
      </c>
      <c r="C8" s="3" t="s">
        <v>367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279</v>
      </c>
      <c r="C9" s="3" t="s">
        <v>368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7" customFormat="1" ht="39.950000000000003" customHeight="1">
      <c r="B10" s="424" t="s">
        <v>280</v>
      </c>
      <c r="C10" s="325" t="s">
        <v>369</v>
      </c>
      <c r="D10" s="357">
        <v>4644.6400000000003</v>
      </c>
      <c r="E10" s="357" t="s">
        <v>248</v>
      </c>
      <c r="F10" s="357">
        <v>0</v>
      </c>
      <c r="G10" s="357">
        <f t="shared" si="0"/>
        <v>4644.6400000000003</v>
      </c>
      <c r="H10" s="357">
        <v>0</v>
      </c>
      <c r="I10" s="357"/>
      <c r="J10" s="357">
        <f t="shared" si="1"/>
        <v>0</v>
      </c>
      <c r="K10" s="425">
        <f>D10</f>
        <v>4644.6400000000003</v>
      </c>
      <c r="L10" s="426"/>
      <c r="O10" s="428"/>
    </row>
    <row r="11" spans="2:15" ht="39.950000000000003" customHeight="1">
      <c r="B11" s="171" t="s">
        <v>281</v>
      </c>
      <c r="C11" s="3" t="s">
        <v>370</v>
      </c>
      <c r="D11" s="9">
        <f>5214/2</f>
        <v>2607</v>
      </c>
      <c r="E11" s="9" t="s">
        <v>256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282</v>
      </c>
      <c r="C12" s="3" t="s">
        <v>371</v>
      </c>
      <c r="D12" s="9">
        <f>7104/2</f>
        <v>3552</v>
      </c>
      <c r="E12" s="9" t="s">
        <v>256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283</v>
      </c>
      <c r="C13" s="3" t="s">
        <v>372</v>
      </c>
      <c r="D13" s="9">
        <f>10936/2</f>
        <v>5468</v>
      </c>
      <c r="E13" s="9" t="s">
        <v>373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284</v>
      </c>
      <c r="C14" s="3" t="s">
        <v>374</v>
      </c>
      <c r="D14" s="9">
        <f>5076/2</f>
        <v>2538</v>
      </c>
      <c r="E14" s="9" t="s">
        <v>256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604" t="s">
        <v>465</v>
      </c>
      <c r="C19" s="604"/>
      <c r="D19" s="181"/>
      <c r="F19" s="605" t="s">
        <v>45</v>
      </c>
      <c r="G19" s="605"/>
      <c r="H19" s="605"/>
      <c r="I19" s="605"/>
      <c r="K19" s="605" t="s">
        <v>637</v>
      </c>
      <c r="L19" s="605"/>
      <c r="M19" s="6"/>
      <c r="O19" s="115"/>
      <c r="P19" s="115"/>
      <c r="R19" s="174"/>
    </row>
    <row r="20" spans="2:19">
      <c r="B20" s="605" t="s">
        <v>150</v>
      </c>
      <c r="C20" s="605"/>
      <c r="D20" s="6"/>
      <c r="F20" s="605" t="s">
        <v>151</v>
      </c>
      <c r="G20" s="605"/>
      <c r="H20" s="605"/>
      <c r="I20" s="605"/>
      <c r="K20" s="605" t="s">
        <v>30</v>
      </c>
      <c r="L20" s="605"/>
      <c r="M20" s="6"/>
      <c r="O20" s="6"/>
      <c r="P20" s="6"/>
    </row>
    <row r="21" spans="2:19">
      <c r="O21" s="170"/>
    </row>
    <row r="22" spans="2:19">
      <c r="K22" s="296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6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274</v>
      </c>
    </row>
    <row r="27" spans="2:19">
      <c r="O27" s="179"/>
      <c r="R27" s="180">
        <f>SUM(R15:R26)</f>
        <v>462824.94</v>
      </c>
      <c r="S27" s="168" t="s">
        <v>275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6"/>
  <sheetViews>
    <sheetView topLeftCell="B51" zoomScale="91" zoomScaleNormal="91" workbookViewId="0">
      <selection activeCell="I61" sqref="I61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11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68" t="s">
        <v>599</v>
      </c>
      <c r="D2" s="668"/>
      <c r="E2" s="668"/>
      <c r="F2" s="668"/>
      <c r="G2" s="668"/>
      <c r="H2" s="668"/>
      <c r="I2" s="668"/>
      <c r="J2" s="668"/>
      <c r="K2" s="668"/>
      <c r="L2" s="668"/>
    </row>
    <row r="3" spans="2:14" ht="18.75">
      <c r="C3" s="668" t="s">
        <v>621</v>
      </c>
      <c r="D3" s="668"/>
      <c r="E3" s="668"/>
      <c r="F3" s="668"/>
      <c r="G3" s="668"/>
      <c r="H3" s="668"/>
      <c r="I3" s="668"/>
      <c r="J3" s="668"/>
      <c r="K3" s="668"/>
      <c r="L3" s="668"/>
    </row>
    <row r="4" spans="2:14" ht="8.25" customHeight="1">
      <c r="C4" s="255"/>
      <c r="D4" s="255"/>
      <c r="E4" s="255"/>
      <c r="F4" s="255"/>
      <c r="G4" s="256"/>
      <c r="H4" s="412"/>
      <c r="I4" s="328"/>
      <c r="J4" s="328"/>
    </row>
    <row r="5" spans="2:14" ht="18.75">
      <c r="C5" s="256"/>
      <c r="D5" s="668" t="s">
        <v>792</v>
      </c>
      <c r="E5" s="668"/>
      <c r="F5" s="668"/>
      <c r="G5" s="668"/>
      <c r="H5" s="668"/>
      <c r="I5" s="668"/>
      <c r="J5" s="668"/>
      <c r="K5" s="257"/>
      <c r="L5" s="258"/>
    </row>
    <row r="7" spans="2:14">
      <c r="B7" s="420"/>
      <c r="C7" s="513" t="s">
        <v>291</v>
      </c>
      <c r="D7" s="513" t="s">
        <v>57</v>
      </c>
      <c r="E7" s="513" t="s">
        <v>495</v>
      </c>
      <c r="F7" s="513" t="s">
        <v>496</v>
      </c>
      <c r="G7" s="513"/>
      <c r="H7" s="514"/>
      <c r="I7" s="515" t="s">
        <v>293</v>
      </c>
      <c r="J7" s="515" t="s">
        <v>632</v>
      </c>
      <c r="K7" s="515" t="s">
        <v>570</v>
      </c>
      <c r="L7" s="513" t="s">
        <v>29</v>
      </c>
    </row>
    <row r="9" spans="2:14" ht="30" customHeight="1">
      <c r="B9" s="183">
        <v>1</v>
      </c>
      <c r="C9" s="183" t="s">
        <v>297</v>
      </c>
      <c r="D9" s="183" t="s">
        <v>497</v>
      </c>
      <c r="E9" s="183" t="s">
        <v>498</v>
      </c>
      <c r="F9" s="183" t="s">
        <v>499</v>
      </c>
      <c r="G9" s="183">
        <f>G5</f>
        <v>0</v>
      </c>
      <c r="H9" s="413">
        <f>5174/2</f>
        <v>2587</v>
      </c>
      <c r="I9" s="327">
        <f t="shared" ref="I9:I14" si="0">H9</f>
        <v>2587</v>
      </c>
      <c r="J9" s="327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298</v>
      </c>
      <c r="D10" s="183"/>
      <c r="E10" s="183" t="s">
        <v>500</v>
      </c>
      <c r="F10" s="183" t="s">
        <v>501</v>
      </c>
      <c r="G10" s="183">
        <f>G9</f>
        <v>0</v>
      </c>
      <c r="H10" s="413">
        <f>4578/2</f>
        <v>2289</v>
      </c>
      <c r="I10" s="327">
        <f t="shared" si="0"/>
        <v>2289</v>
      </c>
      <c r="J10" s="327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482</v>
      </c>
      <c r="D11" s="183" t="s">
        <v>571</v>
      </c>
      <c r="E11" s="183" t="s">
        <v>586</v>
      </c>
      <c r="F11" s="183"/>
      <c r="G11" s="183">
        <f>G10</f>
        <v>0</v>
      </c>
      <c r="H11" s="413">
        <f>7042/2</f>
        <v>3521</v>
      </c>
      <c r="I11" s="327">
        <f t="shared" si="0"/>
        <v>3521</v>
      </c>
      <c r="J11" s="327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299</v>
      </c>
      <c r="D12" s="183" t="s">
        <v>502</v>
      </c>
      <c r="E12" s="183" t="s">
        <v>503</v>
      </c>
      <c r="F12" s="183" t="s">
        <v>504</v>
      </c>
      <c r="G12" s="183">
        <f t="shared" ref="G12:G45" si="3">G11</f>
        <v>0</v>
      </c>
      <c r="H12" s="414">
        <f>3790/2</f>
        <v>1895</v>
      </c>
      <c r="I12" s="329">
        <f t="shared" si="0"/>
        <v>1895</v>
      </c>
      <c r="J12" s="329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712</v>
      </c>
      <c r="D13" s="183" t="s">
        <v>505</v>
      </c>
      <c r="E13" s="183" t="s">
        <v>506</v>
      </c>
      <c r="F13" s="183" t="s">
        <v>507</v>
      </c>
      <c r="G13" s="183">
        <f>G63</f>
        <v>0</v>
      </c>
      <c r="H13" s="414">
        <f>5242/2</f>
        <v>2621</v>
      </c>
      <c r="I13" s="329">
        <f t="shared" si="0"/>
        <v>2621</v>
      </c>
      <c r="J13" s="329"/>
      <c r="K13" s="259">
        <f t="shared" si="1"/>
        <v>2621</v>
      </c>
      <c r="L13" s="183"/>
      <c r="M13" t="s">
        <v>713</v>
      </c>
      <c r="N13" t="s">
        <v>739</v>
      </c>
    </row>
    <row r="14" spans="2:14" ht="30" customHeight="1">
      <c r="B14" s="183">
        <f t="shared" si="2"/>
        <v>6</v>
      </c>
      <c r="C14" s="183" t="s">
        <v>508</v>
      </c>
      <c r="D14" s="183"/>
      <c r="E14" s="183" t="s">
        <v>509</v>
      </c>
      <c r="F14" s="183" t="s">
        <v>504</v>
      </c>
      <c r="G14" s="183">
        <f t="shared" si="3"/>
        <v>0</v>
      </c>
      <c r="H14" s="414">
        <f>7720/2</f>
        <v>3860</v>
      </c>
      <c r="I14" s="329">
        <f t="shared" si="0"/>
        <v>3860</v>
      </c>
      <c r="J14" s="570">
        <v>500</v>
      </c>
      <c r="K14" s="259">
        <f>I14-J14</f>
        <v>3360</v>
      </c>
      <c r="L14" s="183"/>
    </row>
    <row r="15" spans="2:14" ht="30" customHeight="1">
      <c r="B15" s="183">
        <f t="shared" si="2"/>
        <v>7</v>
      </c>
      <c r="C15" s="183" t="s">
        <v>300</v>
      </c>
      <c r="D15" s="183" t="s">
        <v>510</v>
      </c>
      <c r="E15" s="183" t="s">
        <v>511</v>
      </c>
      <c r="F15" s="183" t="s">
        <v>504</v>
      </c>
      <c r="G15" s="183">
        <f t="shared" si="3"/>
        <v>0</v>
      </c>
      <c r="H15" s="414">
        <v>3543</v>
      </c>
      <c r="I15" s="329">
        <v>3543</v>
      </c>
      <c r="J15" s="570">
        <v>1000</v>
      </c>
      <c r="K15" s="259">
        <f>I15-J15</f>
        <v>2543</v>
      </c>
      <c r="L15" s="183"/>
    </row>
    <row r="16" spans="2:14" ht="30" customHeight="1">
      <c r="B16" s="183">
        <f t="shared" si="2"/>
        <v>8</v>
      </c>
      <c r="C16" s="183" t="s">
        <v>301</v>
      </c>
      <c r="D16" s="183" t="s">
        <v>512</v>
      </c>
      <c r="E16" s="183" t="s">
        <v>513</v>
      </c>
      <c r="F16" s="183" t="s">
        <v>514</v>
      </c>
      <c r="G16" s="183">
        <f t="shared" si="3"/>
        <v>0</v>
      </c>
      <c r="H16" s="413">
        <f>6608/2</f>
        <v>3304</v>
      </c>
      <c r="I16" s="327">
        <v>3304</v>
      </c>
      <c r="J16" s="327"/>
      <c r="K16" s="259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483</v>
      </c>
      <c r="D17" s="183" t="s">
        <v>515</v>
      </c>
      <c r="E17" s="183" t="s">
        <v>516</v>
      </c>
      <c r="F17" s="183" t="s">
        <v>504</v>
      </c>
      <c r="G17" s="183">
        <f t="shared" si="3"/>
        <v>0</v>
      </c>
      <c r="H17" s="413">
        <f>3510/2</f>
        <v>1755</v>
      </c>
      <c r="I17" s="327">
        <f t="shared" ref="I17:I45" si="4">H17</f>
        <v>1755</v>
      </c>
      <c r="J17" s="327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302</v>
      </c>
      <c r="D18" s="183"/>
      <c r="E18" s="183" t="s">
        <v>517</v>
      </c>
      <c r="F18" s="183"/>
      <c r="G18" s="183">
        <f>G65</f>
        <v>0</v>
      </c>
      <c r="H18" s="413">
        <f>6240/2</f>
        <v>3120</v>
      </c>
      <c r="I18" s="327">
        <f t="shared" si="4"/>
        <v>3120</v>
      </c>
      <c r="J18" s="329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303</v>
      </c>
      <c r="D19" s="183" t="s">
        <v>518</v>
      </c>
      <c r="E19" s="183" t="s">
        <v>519</v>
      </c>
      <c r="F19" s="260" t="s">
        <v>726</v>
      </c>
      <c r="G19" s="183">
        <f t="shared" si="3"/>
        <v>0</v>
      </c>
      <c r="H19" s="413">
        <f>6128/2</f>
        <v>3064</v>
      </c>
      <c r="I19" s="327">
        <f t="shared" si="4"/>
        <v>3064</v>
      </c>
      <c r="J19" s="329"/>
      <c r="K19" s="259">
        <f t="shared" si="1"/>
        <v>3064</v>
      </c>
      <c r="L19" s="183"/>
    </row>
    <row r="20" spans="2:14" ht="30" customHeight="1">
      <c r="B20" s="183">
        <f t="shared" si="2"/>
        <v>12</v>
      </c>
      <c r="C20" s="183" t="s">
        <v>304</v>
      </c>
      <c r="D20" s="183"/>
      <c r="E20" s="183" t="s">
        <v>520</v>
      </c>
      <c r="F20" s="183" t="s">
        <v>504</v>
      </c>
      <c r="G20" s="183">
        <f t="shared" si="3"/>
        <v>0</v>
      </c>
      <c r="H20" s="413">
        <f>7330/2</f>
        <v>3665</v>
      </c>
      <c r="I20" s="327">
        <f t="shared" si="4"/>
        <v>3665</v>
      </c>
      <c r="J20" s="329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305</v>
      </c>
      <c r="D21" s="183" t="s">
        <v>521</v>
      </c>
      <c r="E21" s="183" t="s">
        <v>498</v>
      </c>
      <c r="F21" s="183"/>
      <c r="G21" s="183">
        <f t="shared" si="3"/>
        <v>0</v>
      </c>
      <c r="H21" s="413">
        <f>6240/2</f>
        <v>3120</v>
      </c>
      <c r="I21" s="327">
        <f t="shared" si="4"/>
        <v>3120</v>
      </c>
      <c r="J21" s="327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522</v>
      </c>
      <c r="D22" s="183" t="s">
        <v>523</v>
      </c>
      <c r="E22" s="183" t="s">
        <v>524</v>
      </c>
      <c r="F22" s="183" t="s">
        <v>504</v>
      </c>
      <c r="G22" s="183" t="e">
        <f>#REF!</f>
        <v>#REF!</v>
      </c>
      <c r="H22" s="413">
        <f>4580/2</f>
        <v>2290</v>
      </c>
      <c r="I22" s="327">
        <f t="shared" si="4"/>
        <v>2290</v>
      </c>
      <c r="J22" s="329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306</v>
      </c>
      <c r="D23" s="183" t="s">
        <v>525</v>
      </c>
      <c r="E23" s="183" t="s">
        <v>526</v>
      </c>
      <c r="F23" s="183"/>
      <c r="G23" s="183" t="e">
        <f>G22</f>
        <v>#REF!</v>
      </c>
      <c r="H23" s="413">
        <f>7414/2</f>
        <v>3707</v>
      </c>
      <c r="I23" s="329">
        <f t="shared" si="4"/>
        <v>3707</v>
      </c>
      <c r="J23" s="327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307</v>
      </c>
      <c r="D24" s="183" t="s">
        <v>527</v>
      </c>
      <c r="E24" s="183" t="s">
        <v>528</v>
      </c>
      <c r="F24" s="183" t="s">
        <v>529</v>
      </c>
      <c r="G24" s="183" t="e">
        <f t="shared" si="3"/>
        <v>#REF!</v>
      </c>
      <c r="H24" s="413">
        <f>4210/2</f>
        <v>2105</v>
      </c>
      <c r="I24" s="327">
        <f t="shared" si="4"/>
        <v>2105</v>
      </c>
      <c r="J24" s="327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308</v>
      </c>
      <c r="D25" s="183" t="s">
        <v>530</v>
      </c>
      <c r="E25" s="183" t="s">
        <v>587</v>
      </c>
      <c r="F25" s="183"/>
      <c r="G25" s="183" t="e">
        <f t="shared" si="3"/>
        <v>#REF!</v>
      </c>
      <c r="H25" s="414">
        <f>6240/2</f>
        <v>3120</v>
      </c>
      <c r="I25" s="329">
        <v>3120</v>
      </c>
      <c r="J25" s="329"/>
      <c r="K25" s="259">
        <f t="shared" si="1"/>
        <v>3120</v>
      </c>
      <c r="L25" s="183"/>
      <c r="M25" s="553"/>
    </row>
    <row r="26" spans="2:14" ht="30" customHeight="1">
      <c r="B26" s="183">
        <f t="shared" si="2"/>
        <v>18</v>
      </c>
      <c r="C26" s="183" t="s">
        <v>309</v>
      </c>
      <c r="D26" s="183" t="s">
        <v>531</v>
      </c>
      <c r="E26" s="183" t="s">
        <v>532</v>
      </c>
      <c r="F26" s="183" t="s">
        <v>504</v>
      </c>
      <c r="G26" s="183" t="e">
        <f t="shared" si="3"/>
        <v>#REF!</v>
      </c>
      <c r="H26" s="413">
        <f>4992/2</f>
        <v>2496</v>
      </c>
      <c r="I26" s="327">
        <v>3090</v>
      </c>
      <c r="J26" s="329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667</v>
      </c>
      <c r="D27" s="183" t="s">
        <v>533</v>
      </c>
      <c r="E27" s="183" t="s">
        <v>534</v>
      </c>
      <c r="F27" s="183" t="s">
        <v>504</v>
      </c>
      <c r="G27" s="183" t="e">
        <f t="shared" si="3"/>
        <v>#REF!</v>
      </c>
      <c r="H27" s="413">
        <f>5848/2</f>
        <v>2924</v>
      </c>
      <c r="I27" s="327">
        <v>3665</v>
      </c>
      <c r="J27" s="327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535</v>
      </c>
      <c r="D28" s="183" t="s">
        <v>536</v>
      </c>
      <c r="E28" s="183" t="s">
        <v>537</v>
      </c>
      <c r="F28" s="183" t="s">
        <v>504</v>
      </c>
      <c r="G28" s="183" t="e">
        <f t="shared" si="3"/>
        <v>#REF!</v>
      </c>
      <c r="H28" s="413">
        <f>7060/2</f>
        <v>3530</v>
      </c>
      <c r="I28" s="327">
        <f t="shared" si="4"/>
        <v>3530</v>
      </c>
      <c r="J28" s="327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310</v>
      </c>
      <c r="D29" s="183"/>
      <c r="E29" s="183" t="s">
        <v>538</v>
      </c>
      <c r="F29" s="183" t="s">
        <v>504</v>
      </c>
      <c r="G29" s="183" t="e">
        <f t="shared" si="3"/>
        <v>#REF!</v>
      </c>
      <c r="H29" s="413">
        <f>7414/2</f>
        <v>3707</v>
      </c>
      <c r="I29" s="327">
        <f t="shared" si="4"/>
        <v>3707</v>
      </c>
      <c r="J29" s="327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312</v>
      </c>
      <c r="D30" s="183" t="s">
        <v>539</v>
      </c>
      <c r="E30" s="183" t="s">
        <v>540</v>
      </c>
      <c r="F30" s="183"/>
      <c r="G30" s="183" t="e">
        <f t="shared" si="3"/>
        <v>#REF!</v>
      </c>
      <c r="H30" s="413">
        <f>3510/2</f>
        <v>1755</v>
      </c>
      <c r="I30" s="327">
        <f t="shared" si="4"/>
        <v>1755</v>
      </c>
      <c r="J30" s="327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313</v>
      </c>
      <c r="D31" s="183" t="s">
        <v>541</v>
      </c>
      <c r="E31" s="183" t="s">
        <v>542</v>
      </c>
      <c r="F31" s="183" t="s">
        <v>504</v>
      </c>
      <c r="G31" s="183" t="e">
        <f t="shared" si="3"/>
        <v>#REF!</v>
      </c>
      <c r="H31" s="413">
        <f>6438/2</f>
        <v>3219</v>
      </c>
      <c r="I31" s="327">
        <f t="shared" si="4"/>
        <v>3219</v>
      </c>
      <c r="J31" s="327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662</v>
      </c>
      <c r="D32" s="183"/>
      <c r="E32" s="183" t="s">
        <v>663</v>
      </c>
      <c r="F32" s="183"/>
      <c r="G32" s="183" t="e">
        <f t="shared" si="3"/>
        <v>#REF!</v>
      </c>
      <c r="H32" s="414">
        <f>7488/2</f>
        <v>3744</v>
      </c>
      <c r="I32" s="329">
        <f t="shared" si="4"/>
        <v>3744</v>
      </c>
      <c r="J32" s="329"/>
      <c r="K32" s="259">
        <f t="shared" si="1"/>
        <v>3744</v>
      </c>
      <c r="L32" s="183"/>
      <c r="M32" t="s">
        <v>666</v>
      </c>
      <c r="N32" t="s">
        <v>762</v>
      </c>
    </row>
    <row r="33" spans="2:14" ht="30" customHeight="1">
      <c r="B33" s="183">
        <v>25</v>
      </c>
      <c r="C33" s="183" t="s">
        <v>697</v>
      </c>
      <c r="D33" s="183"/>
      <c r="E33" s="183" t="s">
        <v>698</v>
      </c>
      <c r="F33" s="183"/>
      <c r="G33" s="183" t="e">
        <f t="shared" si="3"/>
        <v>#REF!</v>
      </c>
      <c r="H33" s="414">
        <f>8320/2</f>
        <v>4160</v>
      </c>
      <c r="I33" s="329">
        <f t="shared" si="4"/>
        <v>4160</v>
      </c>
      <c r="J33" s="329"/>
      <c r="K33" s="259">
        <f>I33-J33</f>
        <v>4160</v>
      </c>
      <c r="L33" s="183"/>
      <c r="M33" t="s">
        <v>699</v>
      </c>
      <c r="N33" t="s">
        <v>763</v>
      </c>
    </row>
    <row r="34" spans="2:14" ht="30" customHeight="1">
      <c r="B34" s="183">
        <v>26</v>
      </c>
      <c r="C34" s="183" t="s">
        <v>543</v>
      </c>
      <c r="D34" s="183" t="s">
        <v>544</v>
      </c>
      <c r="E34" s="183" t="s">
        <v>498</v>
      </c>
      <c r="F34" s="183"/>
      <c r="G34" s="183" t="e">
        <f>#REF!</f>
        <v>#REF!</v>
      </c>
      <c r="H34" s="413">
        <f>6240/2</f>
        <v>3120</v>
      </c>
      <c r="I34" s="327">
        <f t="shared" si="4"/>
        <v>3120</v>
      </c>
      <c r="J34" s="327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616</v>
      </c>
      <c r="D35" s="183"/>
      <c r="E35" s="183" t="s">
        <v>617</v>
      </c>
      <c r="F35" s="183"/>
      <c r="G35" s="183"/>
      <c r="H35" s="414">
        <f>7072/2</f>
        <v>3536</v>
      </c>
      <c r="I35" s="329">
        <f t="shared" si="4"/>
        <v>3536</v>
      </c>
      <c r="J35" s="329"/>
      <c r="K35" s="259">
        <f t="shared" si="1"/>
        <v>3536</v>
      </c>
      <c r="L35" s="183"/>
      <c r="M35" s="317" t="s">
        <v>627</v>
      </c>
      <c r="N35" t="s">
        <v>744</v>
      </c>
    </row>
    <row r="36" spans="2:14" ht="30" customHeight="1">
      <c r="B36" s="183">
        <v>28</v>
      </c>
      <c r="C36" s="183" t="s">
        <v>545</v>
      </c>
      <c r="D36" s="183" t="s">
        <v>546</v>
      </c>
      <c r="E36" s="183" t="s">
        <v>547</v>
      </c>
      <c r="F36" s="183" t="s">
        <v>548</v>
      </c>
      <c r="G36" s="183" t="e">
        <f>G34</f>
        <v>#REF!</v>
      </c>
      <c r="H36" s="413">
        <f>3536/2</f>
        <v>1768</v>
      </c>
      <c r="I36" s="327">
        <f t="shared" si="4"/>
        <v>1768</v>
      </c>
      <c r="J36" s="327"/>
      <c r="K36" s="259">
        <f t="shared" si="1"/>
        <v>1768</v>
      </c>
      <c r="L36" s="183"/>
    </row>
    <row r="37" spans="2:14" ht="30" customHeight="1">
      <c r="B37" s="574">
        <f t="shared" si="2"/>
        <v>29</v>
      </c>
      <c r="C37" s="574" t="s">
        <v>314</v>
      </c>
      <c r="D37" s="574" t="s">
        <v>549</v>
      </c>
      <c r="E37" s="574" t="s">
        <v>81</v>
      </c>
      <c r="F37" s="574"/>
      <c r="G37" s="574" t="e">
        <f t="shared" si="3"/>
        <v>#REF!</v>
      </c>
      <c r="H37" s="575">
        <f>6746/2</f>
        <v>3373</v>
      </c>
      <c r="I37" s="576">
        <v>1798.96</v>
      </c>
      <c r="J37" s="576"/>
      <c r="K37" s="577">
        <f t="shared" si="1"/>
        <v>1798.96</v>
      </c>
      <c r="L37" s="574"/>
      <c r="M37" t="s">
        <v>791</v>
      </c>
    </row>
    <row r="38" spans="2:14" ht="30" customHeight="1">
      <c r="B38" s="183">
        <f t="shared" si="2"/>
        <v>30</v>
      </c>
      <c r="C38" s="183" t="s">
        <v>315</v>
      </c>
      <c r="D38" s="183"/>
      <c r="E38" s="183" t="s">
        <v>517</v>
      </c>
      <c r="F38" s="183"/>
      <c r="G38" s="183" t="e">
        <f>G66</f>
        <v>#REF!</v>
      </c>
      <c r="H38" s="413">
        <f>6864/2</f>
        <v>3432</v>
      </c>
      <c r="I38" s="327">
        <f>H38</f>
        <v>3432</v>
      </c>
      <c r="J38" s="329"/>
      <c r="K38" s="259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317</v>
      </c>
      <c r="D39" s="183"/>
      <c r="E39" s="183" t="s">
        <v>498</v>
      </c>
      <c r="F39" s="183"/>
      <c r="G39" s="183" t="e">
        <f>#REF!</f>
        <v>#REF!</v>
      </c>
      <c r="H39" s="413">
        <f>6240/2</f>
        <v>3120</v>
      </c>
      <c r="I39" s="327">
        <f t="shared" si="4"/>
        <v>3120</v>
      </c>
      <c r="J39" s="329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316</v>
      </c>
      <c r="D40" s="183" t="s">
        <v>550</v>
      </c>
      <c r="E40" s="308" t="s">
        <v>551</v>
      </c>
      <c r="F40" s="183" t="s">
        <v>514</v>
      </c>
      <c r="G40" s="183" t="e">
        <f t="shared" si="3"/>
        <v>#REF!</v>
      </c>
      <c r="H40" s="413">
        <f>5824/2</f>
        <v>2912</v>
      </c>
      <c r="I40" s="327">
        <v>3300</v>
      </c>
      <c r="J40" s="327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552</v>
      </c>
      <c r="D41" s="183" t="s">
        <v>553</v>
      </c>
      <c r="E41" s="183" t="s">
        <v>551</v>
      </c>
      <c r="F41" s="183" t="s">
        <v>529</v>
      </c>
      <c r="G41" s="183" t="e">
        <f t="shared" si="3"/>
        <v>#REF!</v>
      </c>
      <c r="H41" s="413">
        <f>4784/2</f>
        <v>2392</v>
      </c>
      <c r="I41" s="327">
        <f t="shared" si="4"/>
        <v>2392</v>
      </c>
      <c r="J41" s="327"/>
      <c r="K41" s="259">
        <f t="shared" si="1"/>
        <v>2392</v>
      </c>
      <c r="L41" s="183"/>
    </row>
    <row r="42" spans="2:14" ht="30" customHeight="1">
      <c r="B42" s="308">
        <f t="shared" si="2"/>
        <v>34</v>
      </c>
      <c r="C42" s="308" t="s">
        <v>554</v>
      </c>
      <c r="D42" s="308"/>
      <c r="E42" s="308" t="s">
        <v>555</v>
      </c>
      <c r="F42" s="308" t="s">
        <v>501</v>
      </c>
      <c r="G42" s="308" t="e">
        <f t="shared" si="3"/>
        <v>#REF!</v>
      </c>
      <c r="H42" s="578">
        <f>6256/2</f>
        <v>3128</v>
      </c>
      <c r="I42" s="579">
        <f t="shared" si="4"/>
        <v>3128</v>
      </c>
      <c r="J42" s="579"/>
      <c r="K42" s="580">
        <f t="shared" si="1"/>
        <v>3128</v>
      </c>
      <c r="L42" s="308"/>
    </row>
    <row r="43" spans="2:14" ht="30" customHeight="1">
      <c r="B43" s="308">
        <f>B42+1</f>
        <v>35</v>
      </c>
      <c r="C43" s="308" t="s">
        <v>782</v>
      </c>
      <c r="D43" s="308"/>
      <c r="E43" s="308" t="s">
        <v>547</v>
      </c>
      <c r="F43" s="308" t="s">
        <v>556</v>
      </c>
      <c r="G43" s="308" t="e">
        <f t="shared" si="3"/>
        <v>#REF!</v>
      </c>
      <c r="H43" s="578">
        <f>3068/2</f>
        <v>1534</v>
      </c>
      <c r="I43" s="579">
        <v>1534</v>
      </c>
      <c r="J43" s="579"/>
      <c r="K43" s="580">
        <f t="shared" si="1"/>
        <v>1534</v>
      </c>
      <c r="L43" s="308"/>
      <c r="M43" t="s">
        <v>783</v>
      </c>
    </row>
    <row r="44" spans="2:14" ht="30" customHeight="1">
      <c r="B44" s="183">
        <f t="shared" si="2"/>
        <v>36</v>
      </c>
      <c r="C44" s="183" t="s">
        <v>582</v>
      </c>
      <c r="D44" s="183"/>
      <c r="E44" s="183" t="s">
        <v>583</v>
      </c>
      <c r="F44" s="183" t="s">
        <v>504</v>
      </c>
      <c r="G44" s="183"/>
      <c r="H44" s="413">
        <f>6240/2</f>
        <v>3120</v>
      </c>
      <c r="I44" s="327">
        <f t="shared" si="4"/>
        <v>3120</v>
      </c>
      <c r="J44" s="327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484</v>
      </c>
      <c r="D45" s="183"/>
      <c r="E45" s="308" t="s">
        <v>557</v>
      </c>
      <c r="F45" s="183" t="s">
        <v>558</v>
      </c>
      <c r="G45" s="183">
        <f t="shared" si="3"/>
        <v>0</v>
      </c>
      <c r="H45" s="413">
        <f>3858/2</f>
        <v>1929</v>
      </c>
      <c r="I45" s="327">
        <f t="shared" si="4"/>
        <v>1929</v>
      </c>
      <c r="J45" s="327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702</v>
      </c>
      <c r="D46" s="183"/>
      <c r="E46" s="183" t="s">
        <v>630</v>
      </c>
      <c r="F46" s="183" t="s">
        <v>629</v>
      </c>
      <c r="G46" s="183"/>
      <c r="H46" s="414"/>
      <c r="I46" s="329">
        <v>3300</v>
      </c>
      <c r="J46" s="329"/>
      <c r="K46" s="259">
        <f t="shared" si="1"/>
        <v>3300</v>
      </c>
      <c r="L46" s="183"/>
      <c r="M46" t="s">
        <v>703</v>
      </c>
      <c r="N46" t="s">
        <v>739</v>
      </c>
    </row>
    <row r="47" spans="2:14" ht="30" customHeight="1">
      <c r="B47" s="183">
        <f t="shared" si="2"/>
        <v>39</v>
      </c>
      <c r="C47" s="183" t="s">
        <v>622</v>
      </c>
      <c r="D47" s="183"/>
      <c r="E47" s="183" t="s">
        <v>619</v>
      </c>
      <c r="F47" s="183"/>
      <c r="G47" s="183">
        <f>G45</f>
        <v>0</v>
      </c>
      <c r="H47" s="413">
        <f>15600/2</f>
        <v>7800</v>
      </c>
      <c r="I47" s="327">
        <f>H47</f>
        <v>7800</v>
      </c>
      <c r="J47" s="327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680</v>
      </c>
      <c r="D48" s="183"/>
      <c r="E48" s="183" t="s">
        <v>681</v>
      </c>
      <c r="F48" s="183"/>
      <c r="G48" s="183"/>
      <c r="H48" s="414"/>
      <c r="I48" s="329">
        <v>6397</v>
      </c>
      <c r="J48" s="329"/>
      <c r="K48" s="259">
        <f t="shared" si="1"/>
        <v>6397</v>
      </c>
      <c r="L48" s="183"/>
      <c r="M48" t="s">
        <v>682</v>
      </c>
      <c r="N48" t="s">
        <v>740</v>
      </c>
    </row>
    <row r="49" spans="2:14" ht="30" customHeight="1">
      <c r="B49" s="183">
        <v>41</v>
      </c>
      <c r="C49" s="183" t="s">
        <v>646</v>
      </c>
      <c r="D49" s="183"/>
      <c r="E49" s="183" t="s">
        <v>647</v>
      </c>
      <c r="F49" s="183"/>
      <c r="G49" s="183"/>
      <c r="H49" s="413">
        <f>7904/2</f>
        <v>3952</v>
      </c>
      <c r="I49" s="327">
        <f t="shared" ref="I49:I52" si="5">H49</f>
        <v>3952</v>
      </c>
      <c r="J49" s="329"/>
      <c r="K49" s="259">
        <f t="shared" si="1"/>
        <v>3952</v>
      </c>
      <c r="L49" s="183"/>
      <c r="M49" t="s">
        <v>761</v>
      </c>
    </row>
    <row r="50" spans="2:14" ht="30" customHeight="1">
      <c r="B50" s="183">
        <f t="shared" si="2"/>
        <v>42</v>
      </c>
      <c r="C50" s="183" t="s">
        <v>668</v>
      </c>
      <c r="D50" s="183"/>
      <c r="E50" s="183" t="s">
        <v>669</v>
      </c>
      <c r="F50" s="183"/>
      <c r="G50" s="183"/>
      <c r="H50" s="413">
        <f>8320/2</f>
        <v>4160</v>
      </c>
      <c r="I50" s="329">
        <f t="shared" si="5"/>
        <v>4160</v>
      </c>
      <c r="J50" s="327"/>
      <c r="K50" s="259">
        <f t="shared" ref="K50:K60" si="6">I50-J50</f>
        <v>4160</v>
      </c>
      <c r="L50" s="183"/>
    </row>
    <row r="51" spans="2:14" ht="30" customHeight="1">
      <c r="B51" s="183">
        <f t="shared" si="2"/>
        <v>43</v>
      </c>
      <c r="C51" s="183" t="s">
        <v>692</v>
      </c>
      <c r="D51" s="183"/>
      <c r="E51" s="183" t="s">
        <v>691</v>
      </c>
      <c r="F51" s="183"/>
      <c r="G51" s="183"/>
      <c r="H51" s="414">
        <f>7488/2</f>
        <v>3744</v>
      </c>
      <c r="I51" s="329">
        <f t="shared" si="5"/>
        <v>3744</v>
      </c>
      <c r="J51" s="329"/>
      <c r="K51" s="259">
        <f t="shared" si="6"/>
        <v>3744</v>
      </c>
      <c r="L51" s="183"/>
      <c r="M51" t="s">
        <v>690</v>
      </c>
      <c r="N51" t="s">
        <v>741</v>
      </c>
    </row>
    <row r="52" spans="2:14" ht="30" customHeight="1">
      <c r="B52" s="183">
        <v>44</v>
      </c>
      <c r="C52" s="183" t="s">
        <v>686</v>
      </c>
      <c r="D52" s="183"/>
      <c r="E52" s="183" t="s">
        <v>263</v>
      </c>
      <c r="F52" s="183" t="s">
        <v>693</v>
      </c>
      <c r="G52" s="183"/>
      <c r="H52" s="414">
        <f>6138/2</f>
        <v>3069</v>
      </c>
      <c r="I52" s="329">
        <f t="shared" si="5"/>
        <v>3069</v>
      </c>
      <c r="J52" s="329"/>
      <c r="K52" s="259">
        <f t="shared" si="6"/>
        <v>3069</v>
      </c>
      <c r="L52" s="183"/>
      <c r="M52" t="s">
        <v>694</v>
      </c>
      <c r="N52" t="s">
        <v>742</v>
      </c>
    </row>
    <row r="53" spans="2:14" ht="30" customHeight="1">
      <c r="B53" s="183">
        <v>45</v>
      </c>
      <c r="C53" s="183" t="s">
        <v>687</v>
      </c>
      <c r="D53" s="183"/>
      <c r="E53" s="183" t="s">
        <v>688</v>
      </c>
      <c r="F53" s="183"/>
      <c r="G53" s="183"/>
      <c r="H53" s="414">
        <f>5880/2</f>
        <v>2940</v>
      </c>
      <c r="I53" s="329">
        <v>3426</v>
      </c>
      <c r="J53" s="329"/>
      <c r="K53" s="259">
        <f t="shared" si="6"/>
        <v>3426</v>
      </c>
      <c r="L53" s="183"/>
      <c r="M53" t="s">
        <v>689</v>
      </c>
      <c r="N53" t="s">
        <v>743</v>
      </c>
    </row>
    <row r="54" spans="2:14" ht="30" customHeight="1">
      <c r="B54" s="183">
        <v>46</v>
      </c>
      <c r="C54" s="183" t="s">
        <v>717</v>
      </c>
      <c r="D54" s="183"/>
      <c r="E54" s="183" t="s">
        <v>681</v>
      </c>
      <c r="F54" s="183"/>
      <c r="G54" s="183"/>
      <c r="H54" s="414"/>
      <c r="I54" s="329">
        <v>6370</v>
      </c>
      <c r="J54" s="329"/>
      <c r="K54" s="259">
        <f t="shared" si="6"/>
        <v>6370</v>
      </c>
      <c r="L54" s="183"/>
      <c r="M54" t="s">
        <v>766</v>
      </c>
    </row>
    <row r="55" spans="2:14" ht="30" customHeight="1">
      <c r="B55" s="183">
        <v>47</v>
      </c>
      <c r="C55" s="183" t="s">
        <v>733</v>
      </c>
      <c r="D55" s="183"/>
      <c r="E55" s="183" t="s">
        <v>256</v>
      </c>
      <c r="F55" s="183"/>
      <c r="G55" s="183"/>
      <c r="H55" s="414"/>
      <c r="I55" s="329">
        <v>3600</v>
      </c>
      <c r="J55" s="329"/>
      <c r="K55" s="259">
        <f t="shared" si="6"/>
        <v>3600</v>
      </c>
      <c r="L55" s="183"/>
      <c r="M55" s="341" t="s">
        <v>765</v>
      </c>
    </row>
    <row r="56" spans="2:14" ht="30" customHeight="1">
      <c r="B56" s="183">
        <v>48</v>
      </c>
      <c r="C56" s="183" t="s">
        <v>748</v>
      </c>
      <c r="D56" s="183"/>
      <c r="E56" s="183" t="s">
        <v>750</v>
      </c>
      <c r="F56" s="183"/>
      <c r="G56" s="183"/>
      <c r="H56" s="414"/>
      <c r="I56" s="329">
        <v>7500</v>
      </c>
      <c r="J56" s="329"/>
      <c r="K56" s="259">
        <f t="shared" si="6"/>
        <v>7500</v>
      </c>
      <c r="L56" s="183"/>
      <c r="M56" t="s">
        <v>753</v>
      </c>
    </row>
    <row r="57" spans="2:14" ht="30" customHeight="1">
      <c r="B57" s="183">
        <v>49</v>
      </c>
      <c r="C57" s="183" t="s">
        <v>749</v>
      </c>
      <c r="D57" s="183"/>
      <c r="E57" s="183" t="s">
        <v>751</v>
      </c>
      <c r="F57" s="183"/>
      <c r="G57" s="183"/>
      <c r="H57" s="414"/>
      <c r="I57" s="329">
        <v>7500</v>
      </c>
      <c r="J57" s="329"/>
      <c r="K57" s="259">
        <f t="shared" si="6"/>
        <v>7500</v>
      </c>
      <c r="L57" s="183"/>
      <c r="M57" t="s">
        <v>718</v>
      </c>
    </row>
    <row r="58" spans="2:14" ht="30" customHeight="1">
      <c r="B58" s="183">
        <v>50</v>
      </c>
      <c r="C58" s="183" t="s">
        <v>758</v>
      </c>
      <c r="D58" s="183"/>
      <c r="E58" s="183" t="s">
        <v>759</v>
      </c>
      <c r="F58" s="183"/>
      <c r="G58" s="183"/>
      <c r="H58" s="414"/>
      <c r="I58" s="329">
        <v>3400</v>
      </c>
      <c r="J58" s="329"/>
      <c r="K58" s="259">
        <f t="shared" si="6"/>
        <v>3400</v>
      </c>
      <c r="L58" s="183"/>
      <c r="M58" t="s">
        <v>764</v>
      </c>
    </row>
    <row r="59" spans="2:14" ht="30" customHeight="1">
      <c r="B59" s="183">
        <v>51</v>
      </c>
      <c r="C59" s="183" t="s">
        <v>776</v>
      </c>
      <c r="D59" s="183"/>
      <c r="E59" s="183" t="s">
        <v>772</v>
      </c>
      <c r="F59" s="183"/>
      <c r="G59" s="183"/>
      <c r="H59" s="414"/>
      <c r="I59" s="329">
        <v>2000</v>
      </c>
      <c r="J59" s="329"/>
      <c r="K59" s="259">
        <f t="shared" si="6"/>
        <v>2000</v>
      </c>
      <c r="L59" s="183"/>
      <c r="M59" t="s">
        <v>773</v>
      </c>
      <c r="N59" t="s">
        <v>774</v>
      </c>
    </row>
    <row r="60" spans="2:14" ht="30" customHeight="1">
      <c r="B60" s="183">
        <v>52</v>
      </c>
      <c r="C60" s="183" t="s">
        <v>781</v>
      </c>
      <c r="D60" s="183"/>
      <c r="E60" s="183" t="s">
        <v>785</v>
      </c>
      <c r="F60" s="183"/>
      <c r="G60" s="183"/>
      <c r="H60" s="414"/>
      <c r="I60" s="329">
        <v>2000</v>
      </c>
      <c r="J60" s="329"/>
      <c r="K60" s="259">
        <f t="shared" si="6"/>
        <v>2000</v>
      </c>
      <c r="L60" s="183"/>
      <c r="M60" t="s">
        <v>784</v>
      </c>
    </row>
    <row r="61" spans="2:14" ht="30" customHeight="1">
      <c r="F61" s="261" t="s">
        <v>58</v>
      </c>
      <c r="G61" s="271" t="s">
        <v>58</v>
      </c>
      <c r="H61" s="415"/>
      <c r="I61" s="330">
        <f>SUM(I9:I60)</f>
        <v>176831.96000000002</v>
      </c>
      <c r="J61" s="330">
        <f>SUM(J9:J60)</f>
        <v>1500</v>
      </c>
      <c r="K61" s="272">
        <f>SUM(K9:K60)</f>
        <v>175331.96000000002</v>
      </c>
    </row>
    <row r="62" spans="2:14" ht="17.25" customHeight="1">
      <c r="H62" s="416"/>
      <c r="I62" s="331"/>
      <c r="J62" s="331"/>
      <c r="K62" s="264"/>
    </row>
    <row r="63" spans="2:14" ht="30" customHeight="1">
      <c r="B63" s="183">
        <v>1</v>
      </c>
      <c r="C63" s="183" t="s">
        <v>559</v>
      </c>
      <c r="D63" s="183"/>
      <c r="E63" s="183" t="s">
        <v>560</v>
      </c>
      <c r="F63" s="183" t="s">
        <v>561</v>
      </c>
      <c r="G63" s="183">
        <f>G12</f>
        <v>0</v>
      </c>
      <c r="H63" s="413">
        <f>2206/2</f>
        <v>1103</v>
      </c>
      <c r="I63" s="327">
        <f>H63</f>
        <v>1103</v>
      </c>
      <c r="J63" s="327"/>
      <c r="K63" s="259">
        <f>I63-J63</f>
        <v>1103</v>
      </c>
      <c r="L63" s="183"/>
    </row>
    <row r="64" spans="2:14" ht="30" customHeight="1">
      <c r="B64" s="183">
        <v>2</v>
      </c>
      <c r="C64" s="183" t="s">
        <v>634</v>
      </c>
      <c r="D64" s="183" t="s">
        <v>562</v>
      </c>
      <c r="E64" s="183" t="s">
        <v>563</v>
      </c>
      <c r="F64" s="183" t="s">
        <v>504</v>
      </c>
      <c r="G64" s="183">
        <f>G17</f>
        <v>0</v>
      </c>
      <c r="H64" s="413">
        <f>2310/2</f>
        <v>1155</v>
      </c>
      <c r="I64" s="327">
        <f>H64</f>
        <v>1155</v>
      </c>
      <c r="J64" s="327"/>
      <c r="K64" s="259">
        <f t="shared" ref="K64:K67" si="7">I64-J64</f>
        <v>1155</v>
      </c>
      <c r="L64" s="183"/>
    </row>
    <row r="65" spans="2:14" ht="30" customHeight="1">
      <c r="B65" s="183">
        <v>3</v>
      </c>
      <c r="C65" s="183" t="s">
        <v>696</v>
      </c>
      <c r="D65" s="183" t="s">
        <v>564</v>
      </c>
      <c r="E65" s="183" t="s">
        <v>563</v>
      </c>
      <c r="F65" s="183" t="s">
        <v>504</v>
      </c>
      <c r="G65" s="183">
        <f>G64</f>
        <v>0</v>
      </c>
      <c r="H65" s="413">
        <f>2310/2</f>
        <v>1155</v>
      </c>
      <c r="I65" s="327">
        <f>H65</f>
        <v>1155</v>
      </c>
      <c r="J65" s="327"/>
      <c r="K65" s="259">
        <f t="shared" si="7"/>
        <v>1155</v>
      </c>
      <c r="L65" s="183"/>
      <c r="M65" t="s">
        <v>695</v>
      </c>
      <c r="N65" t="s">
        <v>745</v>
      </c>
    </row>
    <row r="66" spans="2:14" ht="30" customHeight="1">
      <c r="B66" s="183">
        <v>4</v>
      </c>
      <c r="C66" s="183" t="s">
        <v>565</v>
      </c>
      <c r="D66" s="183" t="s">
        <v>566</v>
      </c>
      <c r="E66" s="183" t="s">
        <v>567</v>
      </c>
      <c r="F66" s="183"/>
      <c r="G66" s="183" t="e">
        <f>#REF!</f>
        <v>#REF!</v>
      </c>
      <c r="H66" s="413">
        <f>2100/2</f>
        <v>1050</v>
      </c>
      <c r="I66" s="327">
        <f>H66</f>
        <v>1050</v>
      </c>
      <c r="J66" s="327"/>
      <c r="K66" s="259">
        <f t="shared" si="7"/>
        <v>1050</v>
      </c>
      <c r="L66" s="183"/>
    </row>
    <row r="67" spans="2:14" ht="30" customHeight="1">
      <c r="B67" s="183">
        <v>5</v>
      </c>
      <c r="C67" s="183" t="s">
        <v>485</v>
      </c>
      <c r="D67" s="183" t="s">
        <v>568</v>
      </c>
      <c r="E67" s="183" t="s">
        <v>569</v>
      </c>
      <c r="F67" s="183" t="s">
        <v>556</v>
      </c>
      <c r="G67" s="183" t="e">
        <f>#REF!</f>
        <v>#REF!</v>
      </c>
      <c r="H67" s="413">
        <f>2142/2</f>
        <v>1071</v>
      </c>
      <c r="I67" s="327">
        <f>H67</f>
        <v>1071</v>
      </c>
      <c r="J67" s="327"/>
      <c r="K67" s="259">
        <f t="shared" si="7"/>
        <v>1071</v>
      </c>
      <c r="L67" s="183"/>
    </row>
    <row r="68" spans="2:14" ht="30" customHeight="1">
      <c r="F68" s="265" t="s">
        <v>570</v>
      </c>
      <c r="G68" s="262" t="s">
        <v>58</v>
      </c>
      <c r="H68" s="417"/>
      <c r="I68" s="332">
        <f>SUM(I63:I67)</f>
        <v>5534</v>
      </c>
      <c r="J68" s="332">
        <f>SUM(J63:J67)</f>
        <v>0</v>
      </c>
      <c r="K68" s="263">
        <f>SUM(K63:K67)</f>
        <v>5534</v>
      </c>
    </row>
    <row r="69" spans="2:14" ht="13.5" customHeight="1" thickBot="1">
      <c r="B69" s="249"/>
      <c r="C69" s="249"/>
      <c r="D69" s="249"/>
      <c r="E69" s="249"/>
      <c r="F69" s="266"/>
      <c r="G69" s="266"/>
      <c r="H69" s="418"/>
      <c r="I69" s="333"/>
      <c r="J69" s="333"/>
      <c r="K69" s="267"/>
      <c r="L69" s="249"/>
    </row>
    <row r="70" spans="2:14" ht="25.5" customHeight="1" thickTop="1">
      <c r="F70" s="268" t="s">
        <v>58</v>
      </c>
      <c r="G70" s="269" t="s">
        <v>58</v>
      </c>
      <c r="H70" s="419"/>
      <c r="I70" s="338">
        <f>I61+I68</f>
        <v>182365.96000000002</v>
      </c>
      <c r="J70" s="270">
        <f>SUM(J61+J68)</f>
        <v>1500</v>
      </c>
      <c r="K70" s="270">
        <f>SUM(K61+K68)</f>
        <v>180865.96000000002</v>
      </c>
    </row>
    <row r="71" spans="2:14">
      <c r="H71" s="416"/>
      <c r="I71" s="331"/>
      <c r="J71" s="331"/>
      <c r="K71" s="264"/>
    </row>
    <row r="75" spans="2:14">
      <c r="K75" s="254">
        <f>I70-J70</f>
        <v>180865.96000000002</v>
      </c>
    </row>
    <row r="76" spans="2:14">
      <c r="K76" s="254">
        <f>K70-K75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topLeftCell="A4" workbookViewId="0">
      <selection activeCell="F8" sqref="F8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69" t="s">
        <v>591</v>
      </c>
      <c r="D2" s="669"/>
      <c r="E2" s="669"/>
      <c r="F2" s="669"/>
      <c r="G2" s="669"/>
      <c r="H2" s="669"/>
      <c r="I2" s="669"/>
      <c r="J2" s="669"/>
      <c r="K2" s="276"/>
    </row>
    <row r="3" spans="3:12" ht="42.75">
      <c r="C3" s="670" t="s">
        <v>780</v>
      </c>
      <c r="D3" s="670"/>
      <c r="E3" s="670"/>
      <c r="F3" s="670"/>
      <c r="G3" s="670"/>
      <c r="H3" s="670"/>
      <c r="I3" s="670"/>
      <c r="J3" s="340"/>
      <c r="K3" s="199"/>
    </row>
    <row r="4" spans="3:12" ht="18.75">
      <c r="C4" s="671" t="s">
        <v>366</v>
      </c>
      <c r="D4" s="673" t="s">
        <v>52</v>
      </c>
      <c r="E4" s="673"/>
      <c r="F4" s="673"/>
      <c r="G4" s="197"/>
      <c r="H4" s="197" t="s">
        <v>704</v>
      </c>
      <c r="I4" s="197"/>
      <c r="J4" s="183"/>
      <c r="K4" s="183"/>
    </row>
    <row r="5" spans="3:12" ht="18.75">
      <c r="C5" s="672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365</v>
      </c>
      <c r="K5" s="277" t="s">
        <v>578</v>
      </c>
    </row>
    <row r="6" spans="3:12">
      <c r="C6" s="192">
        <v>1</v>
      </c>
      <c r="D6" s="195" t="s">
        <v>329</v>
      </c>
      <c r="E6" s="195" t="s">
        <v>356</v>
      </c>
      <c r="F6" s="191" t="s">
        <v>355</v>
      </c>
      <c r="G6" s="195" t="s">
        <v>354</v>
      </c>
      <c r="H6" s="195">
        <v>122</v>
      </c>
      <c r="I6" s="194" t="s">
        <v>363</v>
      </c>
      <c r="J6" s="423">
        <v>1102</v>
      </c>
      <c r="K6" s="193"/>
    </row>
    <row r="7" spans="3:12">
      <c r="C7" s="192">
        <v>2</v>
      </c>
      <c r="D7" s="195" t="s">
        <v>342</v>
      </c>
      <c r="E7" s="195" t="s">
        <v>337</v>
      </c>
      <c r="F7" s="195" t="s">
        <v>341</v>
      </c>
      <c r="G7" s="195" t="s">
        <v>340</v>
      </c>
      <c r="H7" s="195">
        <v>122</v>
      </c>
      <c r="I7" s="196">
        <v>15544028286487</v>
      </c>
      <c r="J7" s="423">
        <v>1102</v>
      </c>
      <c r="K7" s="193"/>
    </row>
    <row r="8" spans="3:12">
      <c r="C8" s="192">
        <v>3</v>
      </c>
      <c r="D8" s="195" t="s">
        <v>670</v>
      </c>
      <c r="E8" s="195" t="s">
        <v>671</v>
      </c>
      <c r="F8" s="195" t="s">
        <v>672</v>
      </c>
      <c r="G8" s="195" t="s">
        <v>339</v>
      </c>
      <c r="H8" s="195">
        <v>122</v>
      </c>
      <c r="I8" s="196">
        <v>15600228287644</v>
      </c>
      <c r="J8" s="423">
        <v>1102</v>
      </c>
      <c r="K8" s="193"/>
    </row>
    <row r="9" spans="3:12">
      <c r="C9" s="192">
        <v>4</v>
      </c>
      <c r="D9" s="195" t="s">
        <v>353</v>
      </c>
      <c r="E9" s="195" t="s">
        <v>487</v>
      </c>
      <c r="F9" s="195" t="s">
        <v>486</v>
      </c>
      <c r="G9" s="195" t="s">
        <v>705</v>
      </c>
      <c r="H9" s="195">
        <v>122</v>
      </c>
      <c r="I9" s="196"/>
      <c r="J9" s="423">
        <v>1102</v>
      </c>
      <c r="K9" s="193"/>
    </row>
    <row r="10" spans="3:12">
      <c r="C10" s="192">
        <v>5</v>
      </c>
      <c r="D10" s="195" t="s">
        <v>325</v>
      </c>
      <c r="E10" s="195" t="s">
        <v>324</v>
      </c>
      <c r="F10" s="191" t="s">
        <v>323</v>
      </c>
      <c r="G10" s="195" t="s">
        <v>322</v>
      </c>
      <c r="H10" s="195">
        <v>122</v>
      </c>
      <c r="I10" s="194" t="s">
        <v>351</v>
      </c>
      <c r="J10" s="423">
        <v>1102</v>
      </c>
      <c r="K10" s="307"/>
      <c r="L10" s="341"/>
    </row>
    <row r="11" spans="3:12">
      <c r="C11" s="192">
        <v>6</v>
      </c>
      <c r="D11" s="191" t="s">
        <v>321</v>
      </c>
      <c r="E11" s="191" t="s">
        <v>320</v>
      </c>
      <c r="F11" s="191" t="s">
        <v>319</v>
      </c>
      <c r="G11" s="191" t="s">
        <v>318</v>
      </c>
      <c r="H11" s="195">
        <v>122</v>
      </c>
      <c r="I11" s="194" t="s">
        <v>346</v>
      </c>
      <c r="J11" s="423">
        <v>1102</v>
      </c>
      <c r="K11" s="193"/>
    </row>
    <row r="12" spans="3:12">
      <c r="C12" s="192">
        <v>7</v>
      </c>
      <c r="D12" s="195" t="s">
        <v>572</v>
      </c>
      <c r="E12" s="195" t="s">
        <v>573</v>
      </c>
      <c r="F12" s="195" t="s">
        <v>574</v>
      </c>
      <c r="G12" s="195" t="s">
        <v>575</v>
      </c>
      <c r="H12" s="195">
        <v>122</v>
      </c>
      <c r="I12" s="194" t="s">
        <v>343</v>
      </c>
      <c r="J12" s="423">
        <v>1646</v>
      </c>
      <c r="K12" s="193"/>
    </row>
    <row r="13" spans="3:12">
      <c r="C13" s="192">
        <v>8</v>
      </c>
      <c r="D13" s="195" t="s">
        <v>606</v>
      </c>
      <c r="E13" s="195" t="s">
        <v>356</v>
      </c>
      <c r="F13" s="195" t="s">
        <v>607</v>
      </c>
      <c r="G13" s="195" t="s">
        <v>608</v>
      </c>
      <c r="H13" s="195">
        <v>122</v>
      </c>
      <c r="I13" s="196">
        <v>1553028285628</v>
      </c>
      <c r="J13" s="423">
        <v>1102</v>
      </c>
      <c r="K13" s="193"/>
    </row>
    <row r="14" spans="3:12">
      <c r="C14" s="192">
        <v>9</v>
      </c>
      <c r="D14" s="195" t="s">
        <v>612</v>
      </c>
      <c r="E14" s="195" t="s">
        <v>613</v>
      </c>
      <c r="F14" s="195" t="s">
        <v>341</v>
      </c>
      <c r="G14" s="195" t="s">
        <v>614</v>
      </c>
      <c r="H14" s="195">
        <v>122</v>
      </c>
      <c r="I14" s="196"/>
      <c r="J14" s="423">
        <v>1102</v>
      </c>
      <c r="K14" s="193"/>
    </row>
    <row r="15" spans="3:12">
      <c r="C15" s="562">
        <v>10</v>
      </c>
      <c r="D15" s="218" t="s">
        <v>730</v>
      </c>
      <c r="E15" s="218" t="s">
        <v>731</v>
      </c>
      <c r="F15" s="218" t="s">
        <v>732</v>
      </c>
      <c r="G15" s="218" t="s">
        <v>757</v>
      </c>
      <c r="H15" s="218">
        <v>122</v>
      </c>
      <c r="I15" s="563"/>
      <c r="J15" s="564">
        <v>1646</v>
      </c>
      <c r="K15" s="565"/>
      <c r="L15" t="s">
        <v>710</v>
      </c>
    </row>
    <row r="16" spans="3:12">
      <c r="C16" s="562">
        <v>11</v>
      </c>
      <c r="D16" s="218" t="s">
        <v>754</v>
      </c>
      <c r="E16" s="218" t="s">
        <v>755</v>
      </c>
      <c r="F16" s="218" t="s">
        <v>771</v>
      </c>
      <c r="G16" s="218" t="s">
        <v>756</v>
      </c>
      <c r="H16" s="218">
        <v>122</v>
      </c>
      <c r="I16" s="563"/>
      <c r="J16" s="564">
        <v>1500</v>
      </c>
      <c r="K16" s="565"/>
      <c r="L16" t="s">
        <v>760</v>
      </c>
    </row>
    <row r="17" spans="3:12" ht="25.5" customHeight="1" thickBot="1">
      <c r="C17" s="469">
        <v>12</v>
      </c>
      <c r="D17" s="470" t="s">
        <v>576</v>
      </c>
      <c r="E17" s="470" t="s">
        <v>572</v>
      </c>
      <c r="F17" s="470" t="s">
        <v>577</v>
      </c>
      <c r="G17" s="471" t="s">
        <v>609</v>
      </c>
      <c r="H17" s="472">
        <v>122</v>
      </c>
      <c r="I17" s="473" t="s">
        <v>334</v>
      </c>
      <c r="J17" s="488">
        <v>1576</v>
      </c>
      <c r="K17" s="474"/>
    </row>
    <row r="18" spans="3:12" ht="15.75" thickTop="1">
      <c r="C18" s="463"/>
      <c r="D18" s="464"/>
      <c r="E18" s="464"/>
      <c r="F18" s="464"/>
      <c r="G18" s="465"/>
      <c r="H18" s="229"/>
      <c r="I18" s="466"/>
      <c r="J18" s="467">
        <f>SUM(J6:J17)</f>
        <v>15184</v>
      </c>
      <c r="K18" s="468"/>
    </row>
    <row r="19" spans="3:12">
      <c r="C19" s="463"/>
      <c r="D19" s="229"/>
      <c r="E19" s="229"/>
      <c r="F19" s="464"/>
      <c r="G19" s="229"/>
      <c r="H19" s="229"/>
      <c r="I19" s="466"/>
      <c r="J19" s="468"/>
      <c r="K19" s="468"/>
    </row>
    <row r="20" spans="3:12">
      <c r="C20" s="421">
        <v>13</v>
      </c>
      <c r="D20" s="195" t="s">
        <v>332</v>
      </c>
      <c r="E20" s="195" t="s">
        <v>345</v>
      </c>
      <c r="F20" s="191" t="s">
        <v>584</v>
      </c>
      <c r="G20" s="195" t="s">
        <v>364</v>
      </c>
      <c r="H20" s="195">
        <v>443</v>
      </c>
      <c r="I20" s="196" t="s">
        <v>333</v>
      </c>
      <c r="J20" s="423">
        <v>1102</v>
      </c>
      <c r="K20" s="193"/>
    </row>
    <row r="21" spans="3:12">
      <c r="C21" s="192">
        <v>14</v>
      </c>
      <c r="D21" s="191" t="s">
        <v>362</v>
      </c>
      <c r="E21" s="191" t="s">
        <v>331</v>
      </c>
      <c r="F21" s="191" t="s">
        <v>361</v>
      </c>
      <c r="G21" s="195" t="s">
        <v>360</v>
      </c>
      <c r="H21" s="195">
        <v>443</v>
      </c>
      <c r="I21" s="196"/>
      <c r="J21" s="423">
        <v>1102</v>
      </c>
      <c r="K21" s="189"/>
    </row>
    <row r="22" spans="3:12">
      <c r="C22" s="192">
        <v>15</v>
      </c>
      <c r="D22" s="195"/>
      <c r="E22" s="195"/>
      <c r="F22" s="195"/>
      <c r="G22" s="195" t="s">
        <v>352</v>
      </c>
      <c r="H22" s="195">
        <v>443</v>
      </c>
      <c r="I22" s="194"/>
      <c r="J22" s="423"/>
      <c r="K22" s="193"/>
    </row>
    <row r="23" spans="3:12">
      <c r="C23" s="192">
        <v>16</v>
      </c>
      <c r="D23" s="195" t="s">
        <v>350</v>
      </c>
      <c r="E23" s="195" t="s">
        <v>349</v>
      </c>
      <c r="F23" s="191" t="s">
        <v>348</v>
      </c>
      <c r="G23" s="195" t="s">
        <v>347</v>
      </c>
      <c r="H23" s="195">
        <v>443</v>
      </c>
      <c r="I23" s="194"/>
      <c r="J23" s="423">
        <v>1102</v>
      </c>
      <c r="K23" s="193"/>
    </row>
    <row r="24" spans="3:12">
      <c r="C24" s="192">
        <v>17</v>
      </c>
      <c r="D24" s="195" t="s">
        <v>708</v>
      </c>
      <c r="E24" s="195" t="s">
        <v>320</v>
      </c>
      <c r="F24" s="191" t="s">
        <v>709</v>
      </c>
      <c r="G24" s="195" t="s">
        <v>344</v>
      </c>
      <c r="H24" s="195">
        <v>443</v>
      </c>
      <c r="I24" s="190"/>
      <c r="J24" s="423">
        <v>1102</v>
      </c>
      <c r="K24" s="189"/>
      <c r="L24" s="317" t="s">
        <v>710</v>
      </c>
    </row>
    <row r="25" spans="3:12">
      <c r="C25" s="421">
        <v>18</v>
      </c>
      <c r="D25" s="195" t="s">
        <v>338</v>
      </c>
      <c r="E25" s="195" t="s">
        <v>337</v>
      </c>
      <c r="F25" s="191" t="s">
        <v>336</v>
      </c>
      <c r="G25" s="195" t="s">
        <v>335</v>
      </c>
      <c r="H25" s="195">
        <v>443</v>
      </c>
      <c r="I25" s="194"/>
      <c r="J25" s="423">
        <v>1102</v>
      </c>
      <c r="K25" s="189"/>
    </row>
    <row r="26" spans="3:12">
      <c r="C26" s="421">
        <v>19</v>
      </c>
      <c r="D26" s="422" t="s">
        <v>332</v>
      </c>
      <c r="E26" s="422" t="s">
        <v>644</v>
      </c>
      <c r="F26" s="422" t="s">
        <v>657</v>
      </c>
      <c r="G26" s="195" t="s">
        <v>330</v>
      </c>
      <c r="H26" s="195">
        <v>443</v>
      </c>
      <c r="I26" s="194"/>
      <c r="J26" s="423">
        <v>1102</v>
      </c>
      <c r="K26" s="189"/>
    </row>
    <row r="27" spans="3:12" ht="15.75" thickBot="1">
      <c r="C27" s="480">
        <v>20</v>
      </c>
      <c r="D27" s="472" t="s">
        <v>329</v>
      </c>
      <c r="E27" s="472" t="s">
        <v>328</v>
      </c>
      <c r="F27" s="470" t="s">
        <v>327</v>
      </c>
      <c r="G27" s="472" t="s">
        <v>326</v>
      </c>
      <c r="H27" s="472">
        <v>443</v>
      </c>
      <c r="I27" s="481"/>
      <c r="J27" s="488">
        <v>1102</v>
      </c>
      <c r="K27" s="482"/>
      <c r="L27" s="341"/>
    </row>
    <row r="28" spans="3:12" ht="15.75" thickTop="1">
      <c r="C28" s="463"/>
      <c r="D28" s="229"/>
      <c r="E28" s="229"/>
      <c r="F28" s="464"/>
      <c r="G28" s="229"/>
      <c r="H28" s="229"/>
      <c r="I28" s="479"/>
      <c r="J28" s="483">
        <f>SUM(J20:J27)</f>
        <v>7714</v>
      </c>
      <c r="K28" s="477"/>
      <c r="L28" s="341"/>
    </row>
    <row r="29" spans="3:12">
      <c r="C29" s="463"/>
      <c r="D29" s="229"/>
      <c r="E29" s="229"/>
      <c r="F29" s="464"/>
      <c r="G29" s="229"/>
      <c r="H29" s="229"/>
      <c r="I29" s="479"/>
      <c r="J29" s="478"/>
      <c r="K29" s="477"/>
      <c r="L29" s="341"/>
    </row>
    <row r="30" spans="3:12">
      <c r="C30" s="535">
        <v>21</v>
      </c>
      <c r="D30" s="195" t="s">
        <v>321</v>
      </c>
      <c r="E30" s="195" t="s">
        <v>359</v>
      </c>
      <c r="F30" s="191" t="s">
        <v>358</v>
      </c>
      <c r="G30" s="195" t="s">
        <v>357</v>
      </c>
      <c r="H30" s="191">
        <v>445</v>
      </c>
      <c r="I30" s="190" t="s">
        <v>610</v>
      </c>
      <c r="J30" s="307">
        <v>1092</v>
      </c>
      <c r="K30" s="189"/>
    </row>
    <row r="31" spans="3:12">
      <c r="C31" s="475"/>
      <c r="D31" s="229"/>
      <c r="E31" s="229"/>
      <c r="F31" s="464"/>
      <c r="G31" s="229"/>
      <c r="H31" s="464"/>
      <c r="I31" s="476"/>
      <c r="J31" s="483">
        <f>SUM(J30)</f>
        <v>1092</v>
      </c>
      <c r="K31" s="477"/>
    </row>
    <row r="32" spans="3:12" ht="11.25" customHeight="1">
      <c r="C32" s="475"/>
      <c r="D32" s="229"/>
      <c r="E32" s="229"/>
      <c r="F32" s="464"/>
      <c r="G32" s="229"/>
      <c r="H32" s="464"/>
      <c r="I32" s="476"/>
      <c r="J32" s="484"/>
      <c r="K32" s="477"/>
    </row>
    <row r="33" spans="3:11" ht="15.75" thickBot="1">
      <c r="C33" s="266"/>
      <c r="D33" s="266"/>
      <c r="E33" s="266"/>
      <c r="F33" s="266"/>
      <c r="G33" s="266"/>
      <c r="H33" s="485"/>
      <c r="I33" s="485"/>
      <c r="J33" s="486">
        <f>J18+J28+J31</f>
        <v>23990</v>
      </c>
      <c r="K33" s="487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Hoja1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2022-03-23T01:52:56Z</cp:lastPrinted>
  <dcterms:created xsi:type="dcterms:W3CDTF">2018-09-24T18:29:12Z</dcterms:created>
  <dcterms:modified xsi:type="dcterms:W3CDTF">2023-08-09T19:00:28Z</dcterms:modified>
</cp:coreProperties>
</file>