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Octubre 2020\"/>
    </mc:Choice>
  </mc:AlternateContent>
  <xr:revisionPtr revIDLastSave="0" documentId="13_ncr:1_{5EEAD239-CAC2-4030-A93C-02F50461AAE8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r:id="rId9"/>
    <sheet name="PAGO TRAB.MENSUALES" sheetId="8" state="hidden" r:id="rId10"/>
    <sheet name="CASA DE CULTURA " sheetId="15" r:id="rId11"/>
    <sheet name="TOTAL DE PAGOS 2DAQUIN.OCTUBRE" sheetId="13" state="hidden" r:id="rId12"/>
  </sheets>
  <definedNames>
    <definedName name="_xlnm.Print_Area" localSheetId="1">BASE!$B$2:$N$204</definedName>
    <definedName name="_xlnm.Print_Area" localSheetId="10">'CASA DE CULTURA '!$B$1:$O$20</definedName>
    <definedName name="_xlnm.Print_Area" localSheetId="8">'NOMINA ORD. DE PAGO QUINCENAL'!$A$1:$L$76</definedName>
    <definedName name="_xlnm.Print_Area" localSheetId="7">'NOMINA PENSIONADOS'!$B$2:$L$21</definedName>
    <definedName name="_xlnm.Print_Area" localSheetId="4">'NOMINA TRAB.EVENTUALES'!$A$2:$S$40</definedName>
    <definedName name="_xlnm.Print_Area" localSheetId="9">'PAGO TRAB.MENSUALES'!$C$2:$K$34</definedName>
    <definedName name="_xlnm.Print_Area" localSheetId="3">'P-CIVIL'!$A$1:$Q$32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'SEGU-PBCA'!$B$2:$Q$47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6" l="1"/>
  <c r="F14" i="16"/>
  <c r="F16" i="16" l="1"/>
  <c r="N13" i="16"/>
  <c r="L185" i="2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N10" i="16"/>
  <c r="N11" i="16" s="1"/>
  <c r="N12" i="16" s="1"/>
  <c r="J12" i="16"/>
  <c r="J14" i="16" s="1"/>
  <c r="G14" i="16"/>
  <c r="G10" i="16"/>
  <c r="G16" i="16" s="1"/>
  <c r="R28" i="16"/>
  <c r="H16" i="16"/>
  <c r="E16" i="16"/>
  <c r="I12" i="16"/>
  <c r="I14" i="16" s="1"/>
  <c r="I9" i="16"/>
  <c r="J9" i="16"/>
  <c r="I8" i="16"/>
  <c r="J59" i="14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L137" i="2"/>
  <c r="L61" i="2"/>
  <c r="L52" i="2"/>
  <c r="L168" i="2"/>
  <c r="I10" i="16" l="1"/>
  <c r="I16" i="16" s="1"/>
  <c r="J23" i="16"/>
  <c r="J8" i="16"/>
  <c r="J10" i="16" s="1"/>
  <c r="J16" i="16" l="1"/>
  <c r="J24" i="16" l="1"/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M15" i="15" l="1"/>
  <c r="K15" i="15"/>
  <c r="J15" i="15"/>
  <c r="H15" i="15"/>
  <c r="I14" i="15"/>
  <c r="L14" i="15" s="1"/>
  <c r="N14" i="15" s="1"/>
  <c r="I13" i="15"/>
  <c r="L13" i="15" s="1"/>
  <c r="N13" i="15" s="1"/>
  <c r="I12" i="15"/>
  <c r="L12" i="15" s="1"/>
  <c r="N12" i="15" s="1"/>
  <c r="I11" i="15"/>
  <c r="L11" i="15" s="1"/>
  <c r="N11" i="15" s="1"/>
  <c r="I10" i="15"/>
  <c r="L10" i="15" s="1"/>
  <c r="N10" i="15" s="1"/>
  <c r="I9" i="15"/>
  <c r="L9" i="15" s="1"/>
  <c r="N9" i="15" s="1"/>
  <c r="I8" i="15"/>
  <c r="L8" i="15" s="1"/>
  <c r="N8" i="15" s="1"/>
  <c r="I7" i="15"/>
  <c r="I15" i="15" s="1"/>
  <c r="L22" i="15" s="1"/>
  <c r="L7" i="15" l="1"/>
  <c r="L15" i="15" l="1"/>
  <c r="N7" i="15"/>
  <c r="N15" i="15" s="1"/>
  <c r="L23" i="15" l="1"/>
  <c r="N22" i="15"/>
  <c r="O36" i="6" l="1"/>
  <c r="P36" i="6" s="1"/>
  <c r="O35" i="6"/>
  <c r="P35" i="6" s="1"/>
  <c r="O34" i="6"/>
  <c r="P34" i="6" s="1"/>
  <c r="G13" i="5" l="1"/>
  <c r="L24" i="13" l="1"/>
  <c r="B15" i="13"/>
  <c r="B10" i="13"/>
  <c r="B11" i="13"/>
  <c r="C17" i="13"/>
  <c r="B17" i="13" s="1"/>
  <c r="K15" i="14" l="1"/>
  <c r="O33" i="6"/>
  <c r="P33" i="6" s="1"/>
  <c r="N27" i="4" l="1"/>
  <c r="O26" i="4"/>
  <c r="K58" i="14" l="1"/>
  <c r="O32" i="6" l="1"/>
  <c r="P32" i="6" s="1"/>
  <c r="K57" i="14" l="1"/>
  <c r="J31" i="8" l="1"/>
  <c r="J28" i="8"/>
  <c r="J18" i="8"/>
  <c r="J33" i="8" s="1"/>
  <c r="C14" i="13" s="1"/>
  <c r="B14" i="13" s="1"/>
  <c r="O31" i="6"/>
  <c r="P31" i="6" s="1"/>
  <c r="K56" i="14" l="1"/>
  <c r="K55" i="14" l="1"/>
  <c r="K54" i="14"/>
  <c r="O30" i="6"/>
  <c r="P30" i="6" s="1"/>
  <c r="K53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29" i="6" l="1"/>
  <c r="P29" i="6" s="1"/>
  <c r="P26" i="6" l="1"/>
  <c r="K52" i="14" l="1"/>
  <c r="O25" i="4" l="1"/>
  <c r="P25" i="4" s="1"/>
  <c r="M16" i="3" l="1"/>
  <c r="J15" i="3"/>
  <c r="H51" i="14"/>
  <c r="G10" i="11"/>
  <c r="J22" i="3"/>
  <c r="E154" i="2"/>
  <c r="E122" i="2"/>
  <c r="K10" i="11" l="1"/>
  <c r="E45" i="2"/>
  <c r="O24" i="6" l="1"/>
  <c r="G24" i="6"/>
  <c r="I24" i="6" s="1"/>
  <c r="K24" i="6" s="1"/>
  <c r="P24" i="6" l="1"/>
  <c r="H65" i="14"/>
  <c r="I65" i="14" s="1"/>
  <c r="H64" i="14"/>
  <c r="I64" i="14" s="1"/>
  <c r="H63" i="14"/>
  <c r="I63" i="14" s="1"/>
  <c r="H62" i="14"/>
  <c r="I62" i="14" s="1"/>
  <c r="H61" i="14"/>
  <c r="I61" i="14" s="1"/>
  <c r="H50" i="14"/>
  <c r="I50" i="14" s="1"/>
  <c r="H49" i="14"/>
  <c r="I49" i="14" s="1"/>
  <c r="H48" i="14"/>
  <c r="I48" i="14" s="1"/>
  <c r="H47" i="14"/>
  <c r="I47" i="14" s="1"/>
  <c r="H44" i="14"/>
  <c r="I44" i="14" s="1"/>
  <c r="H43" i="14"/>
  <c r="I43" i="14" s="1"/>
  <c r="H42" i="14"/>
  <c r="H41" i="14"/>
  <c r="I41" i="14" s="1"/>
  <c r="H40" i="14"/>
  <c r="I40" i="14" s="1"/>
  <c r="H39" i="14"/>
  <c r="H38" i="14"/>
  <c r="I38" i="14" s="1"/>
  <c r="H37" i="14"/>
  <c r="I37" i="14" s="1"/>
  <c r="H36" i="14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H25" i="14"/>
  <c r="H24" i="14"/>
  <c r="I24" i="14" s="1"/>
  <c r="H23" i="14"/>
  <c r="H22" i="14"/>
  <c r="I22" i="14" s="1"/>
  <c r="H21" i="14"/>
  <c r="I21" i="14" s="1"/>
  <c r="H20" i="14"/>
  <c r="I20" i="14" s="1"/>
  <c r="H19" i="14"/>
  <c r="H18" i="14"/>
  <c r="H17" i="14"/>
  <c r="I17" i="14" s="1"/>
  <c r="H16" i="14"/>
  <c r="H14" i="14"/>
  <c r="I14" i="14" s="1"/>
  <c r="K14" i="14" s="1"/>
  <c r="H13" i="14"/>
  <c r="I13" i="14" s="1"/>
  <c r="H12" i="14"/>
  <c r="I12" i="14" s="1"/>
  <c r="H11" i="14"/>
  <c r="I11" i="14" s="1"/>
  <c r="H10" i="14"/>
  <c r="I10" i="14" s="1"/>
  <c r="H9" i="14"/>
  <c r="I9" i="14" s="1"/>
  <c r="I59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R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4" i="4"/>
  <c r="J24" i="4" s="1"/>
  <c r="H23" i="4"/>
  <c r="J23" i="4" s="1"/>
  <c r="H22" i="4"/>
  <c r="J22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J20" i="4" s="1"/>
  <c r="H21" i="4"/>
  <c r="J21" i="4" s="1"/>
  <c r="H14" i="4"/>
  <c r="J14" i="4" s="1"/>
  <c r="J13" i="4"/>
  <c r="H12" i="4"/>
  <c r="J12" i="4" s="1"/>
  <c r="G37" i="6"/>
  <c r="I37" i="6" s="1"/>
  <c r="G28" i="6"/>
  <c r="I28" i="6" s="1"/>
  <c r="G27" i="6"/>
  <c r="I27" i="6" s="1"/>
  <c r="G26" i="6"/>
  <c r="I26" i="6" s="1"/>
  <c r="I25" i="6"/>
  <c r="G23" i="6"/>
  <c r="I23" i="6" s="1"/>
  <c r="G22" i="6"/>
  <c r="I22" i="6" s="1"/>
  <c r="G21" i="6"/>
  <c r="I21" i="6" s="1"/>
  <c r="G20" i="6"/>
  <c r="I20" i="6" s="1"/>
  <c r="G19" i="6"/>
  <c r="I19" i="6" s="1"/>
  <c r="G18" i="6"/>
  <c r="G17" i="6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J27" i="4" l="1"/>
  <c r="H185" i="2"/>
  <c r="M185" i="2" s="1"/>
  <c r="E185" i="2"/>
  <c r="E179" i="2"/>
  <c r="F179" i="2" s="1"/>
  <c r="H179" i="2" s="1"/>
  <c r="E173" i="2"/>
  <c r="F173" i="2" s="1"/>
  <c r="H173" i="2" s="1"/>
  <c r="E168" i="2"/>
  <c r="F168" i="2" s="1"/>
  <c r="H168" i="2" s="1"/>
  <c r="M168" i="2" s="1"/>
  <c r="H160" i="2"/>
  <c r="E160" i="2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E137" i="2"/>
  <c r="F137" i="2" s="1"/>
  <c r="E136" i="2"/>
  <c r="F136" i="2" s="1"/>
  <c r="E135" i="2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H102" i="2"/>
  <c r="E102" i="2"/>
  <c r="E92" i="2"/>
  <c r="H92" i="2" s="1"/>
  <c r="E91" i="2"/>
  <c r="F91" i="2" s="1"/>
  <c r="H91" i="2" s="1"/>
  <c r="E90" i="2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E61" i="2"/>
  <c r="F61" i="2" s="1"/>
  <c r="H61" i="2" s="1"/>
  <c r="M61" i="2" s="1"/>
  <c r="K53" i="2"/>
  <c r="E52" i="2"/>
  <c r="F52" i="2" s="1"/>
  <c r="H52" i="2" s="1"/>
  <c r="M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2" i="14" l="1"/>
  <c r="K50" i="14" l="1"/>
  <c r="K49" i="14" l="1"/>
  <c r="K51" i="14" l="1"/>
  <c r="J123" i="2" l="1"/>
  <c r="H17" i="13" l="1"/>
  <c r="H18" i="13" s="1"/>
  <c r="O28" i="6" l="1"/>
  <c r="K28" i="6"/>
  <c r="P28" i="6" l="1"/>
  <c r="O35" i="3"/>
  <c r="K48" i="14" l="1"/>
  <c r="J66" i="14" l="1"/>
  <c r="J68" i="14" s="1"/>
  <c r="K123" i="2" l="1"/>
  <c r="F123" i="2"/>
  <c r="H121" i="2"/>
  <c r="L121" i="2"/>
  <c r="H123" i="2" l="1"/>
  <c r="M121" i="2"/>
  <c r="K62" i="14" l="1"/>
  <c r="K63" i="14"/>
  <c r="K64" i="14"/>
  <c r="K65" i="14"/>
  <c r="K61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9" i="14"/>
  <c r="I66" i="14"/>
  <c r="I68" i="14" s="1"/>
  <c r="C13" i="13" s="1"/>
  <c r="B13" i="13" s="1"/>
  <c r="K59" i="14" l="1"/>
  <c r="K66" i="14"/>
  <c r="K79" i="14"/>
  <c r="K68" i="14" l="1"/>
  <c r="N38" i="6"/>
  <c r="K80" i="14" l="1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H190" i="2" l="1"/>
  <c r="H191" i="2" s="1"/>
  <c r="F191" i="2"/>
  <c r="K191" i="2"/>
  <c r="L190" i="2"/>
  <c r="L191" i="2" l="1"/>
  <c r="M190" i="2"/>
  <c r="M191" i="2" s="1"/>
  <c r="O191" i="2" s="1"/>
  <c r="G15" i="11"/>
  <c r="I38" i="6"/>
  <c r="L38" i="6"/>
  <c r="E13" i="13" l="1"/>
  <c r="F14" i="13"/>
  <c r="K63" i="2" l="1"/>
  <c r="K70" i="2"/>
  <c r="K180" i="2"/>
  <c r="K186" i="2"/>
  <c r="K35" i="3" l="1"/>
  <c r="M35" i="3"/>
  <c r="C12" i="13" s="1"/>
  <c r="B12" i="13" s="1"/>
  <c r="P35" i="3"/>
  <c r="J18" i="5" l="1"/>
  <c r="D18" i="5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C8" i="13" s="1"/>
  <c r="B8" i="13" s="1"/>
  <c r="K12" i="6"/>
  <c r="Q17" i="3"/>
  <c r="R17" i="3" s="1"/>
  <c r="L44" i="2"/>
  <c r="M44" i="2" s="1"/>
  <c r="K199" i="2" l="1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F186" i="2" l="1"/>
  <c r="F47" i="2"/>
  <c r="F24" i="2"/>
  <c r="F9" i="2"/>
  <c r="F18" i="2"/>
  <c r="F63" i="2" l="1"/>
  <c r="M186" i="2"/>
  <c r="P186" i="2" l="1"/>
  <c r="E8" i="13"/>
  <c r="M27" i="4"/>
  <c r="O24" i="4"/>
  <c r="L24" i="4"/>
  <c r="P24" i="4" l="1"/>
  <c r="H24" i="2"/>
  <c r="U17" i="6" l="1"/>
  <c r="V17" i="6" s="1"/>
  <c r="U21" i="6"/>
  <c r="V21" i="6" s="1"/>
  <c r="G9" i="14" l="1"/>
  <c r="G10" i="14" s="1"/>
  <c r="G11" i="14" s="1"/>
  <c r="G12" i="14" s="1"/>
  <c r="G61" i="14" s="1"/>
  <c r="G13" i="14" s="1"/>
  <c r="G14" i="14" s="1"/>
  <c r="G15" i="14" s="1"/>
  <c r="G16" i="14" s="1"/>
  <c r="G17" i="14" s="1"/>
  <c r="G62" i="14" s="1"/>
  <c r="G63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l="1"/>
  <c r="G35" i="14" s="1"/>
  <c r="G36" i="14" s="1"/>
  <c r="G64" i="14" s="1"/>
  <c r="G37" i="14" s="1"/>
  <c r="G38" i="14" s="1"/>
  <c r="G39" i="14" s="1"/>
  <c r="G40" i="14" s="1"/>
  <c r="G41" i="14" s="1"/>
  <c r="G42" i="14" s="1"/>
  <c r="G44" i="14" s="1"/>
  <c r="F17" i="13"/>
  <c r="F18" i="13" s="1"/>
  <c r="G65" i="14" l="1"/>
  <c r="L43" i="2"/>
  <c r="M43" i="2" l="1"/>
  <c r="O25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C16" i="13" s="1"/>
  <c r="B16" i="13" s="1"/>
  <c r="M180" i="2"/>
  <c r="P180" i="2" s="1"/>
  <c r="M174" i="2"/>
  <c r="P174" i="2" s="1"/>
  <c r="J15" i="11"/>
  <c r="K23" i="11" l="1"/>
  <c r="C12" i="9"/>
  <c r="G15" i="13" l="1"/>
  <c r="O26" i="6"/>
  <c r="K26" i="6"/>
  <c r="K25" i="6"/>
  <c r="P25" i="6" s="1"/>
  <c r="G18" i="13" l="1"/>
  <c r="O23" i="6"/>
  <c r="K23" i="6"/>
  <c r="P23" i="6" l="1"/>
  <c r="S30" i="5" l="1"/>
  <c r="J38" i="6" l="1"/>
  <c r="O27" i="6"/>
  <c r="O37" i="6"/>
  <c r="K37" i="6"/>
  <c r="P37" i="6" s="1"/>
  <c r="L23" i="4" l="1"/>
  <c r="O22" i="4"/>
  <c r="O23" i="4"/>
  <c r="L22" i="4"/>
  <c r="P23" i="4" l="1"/>
  <c r="P22" i="4"/>
  <c r="K27" i="6"/>
  <c r="P27" i="6" s="1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7" i="4"/>
  <c r="O21" i="4"/>
  <c r="L21" i="4"/>
  <c r="O20" i="4"/>
  <c r="L20" i="4"/>
  <c r="P20" i="4" s="1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L27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O27" i="4" l="1"/>
  <c r="P13" i="6"/>
  <c r="P12" i="4"/>
  <c r="K18" i="5"/>
  <c r="L27" i="5" s="1"/>
  <c r="L28" i="5" s="1"/>
  <c r="P13" i="4"/>
  <c r="P16" i="4"/>
  <c r="P18" i="4"/>
  <c r="O38" i="6"/>
  <c r="P16" i="6"/>
  <c r="M122" i="2"/>
  <c r="M123" i="2" s="1"/>
  <c r="L123" i="2"/>
  <c r="P14" i="4"/>
  <c r="P15" i="4"/>
  <c r="P17" i="4"/>
  <c r="P19" i="4"/>
  <c r="P21" i="4"/>
  <c r="Q35" i="3"/>
  <c r="R44" i="3" s="1"/>
  <c r="L63" i="2"/>
  <c r="M63" i="2"/>
  <c r="L117" i="2"/>
  <c r="M112" i="2"/>
  <c r="L70" i="2"/>
  <c r="K38" i="6"/>
  <c r="M53" i="2"/>
  <c r="P12" i="6"/>
  <c r="P14" i="6"/>
  <c r="P19" i="6"/>
  <c r="P15" i="6"/>
  <c r="P22" i="6"/>
  <c r="P17" i="6"/>
  <c r="P20" i="6"/>
  <c r="P21" i="6"/>
  <c r="P18" i="6"/>
  <c r="R35" i="3"/>
  <c r="G143" i="2"/>
  <c r="F143" i="2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M137" i="2" s="1"/>
  <c r="H138" i="2"/>
  <c r="H139" i="2"/>
  <c r="H140" i="2"/>
  <c r="H141" i="2"/>
  <c r="H142" i="2"/>
  <c r="H135" i="2"/>
  <c r="L135" i="2"/>
  <c r="L136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M138" i="2" l="1"/>
  <c r="F209" i="2"/>
  <c r="P27" i="4"/>
  <c r="M135" i="2"/>
  <c r="P38" i="6"/>
  <c r="F199" i="2"/>
  <c r="E11" i="13"/>
  <c r="M24" i="2"/>
  <c r="O63" i="2"/>
  <c r="E12" i="13"/>
  <c r="R45" i="3"/>
  <c r="G199" i="2"/>
  <c r="P34" i="4"/>
  <c r="M9" i="2"/>
  <c r="M85" i="2"/>
  <c r="M93" i="2" s="1"/>
  <c r="L93" i="2"/>
  <c r="O93" i="2" s="1"/>
  <c r="M47" i="2"/>
  <c r="L47" i="2"/>
  <c r="O47" i="2" s="1"/>
  <c r="M142" i="2"/>
  <c r="M141" i="2"/>
  <c r="M140" i="2"/>
  <c r="L75" i="2"/>
  <c r="O75" i="2" s="1"/>
  <c r="M74" i="2"/>
  <c r="M139" i="2"/>
  <c r="M136" i="2"/>
  <c r="M156" i="2"/>
  <c r="O123" i="2"/>
  <c r="O117" i="2"/>
  <c r="M18" i="2"/>
  <c r="M70" i="2"/>
  <c r="L143" i="2"/>
  <c r="O53" i="2"/>
  <c r="P53" i="2" s="1"/>
  <c r="O70" i="2"/>
  <c r="H143" i="2"/>
  <c r="H199" i="2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C9" i="13"/>
  <c r="B9" i="13" s="1"/>
  <c r="B18" i="13" s="1"/>
  <c r="F210" i="2"/>
  <c r="E10" i="13"/>
  <c r="E23" i="13" s="1"/>
  <c r="P35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P104" i="2"/>
  <c r="P14" i="2"/>
  <c r="P47" i="2"/>
  <c r="I143" i="2"/>
  <c r="I199" i="2" s="1"/>
  <c r="M209" i="2" l="1"/>
  <c r="K209" i="2"/>
  <c r="K210" i="2" s="1"/>
  <c r="C18" i="13"/>
  <c r="O143" i="2"/>
  <c r="O209" i="2" s="1"/>
  <c r="E9" i="13"/>
  <c r="E22" i="13" s="1"/>
  <c r="E24" i="13" l="1"/>
  <c r="P143" i="2"/>
  <c r="M210" i="2"/>
  <c r="M211" i="2" s="1"/>
  <c r="E18" i="13"/>
  <c r="F20" i="13" s="1"/>
  <c r="M38" i="6" l="1"/>
  <c r="P54" i="6" s="1"/>
  <c r="P5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<sst xmlns="http://schemas.openxmlformats.org/spreadsheetml/2006/main" count="1351" uniqueCount="815">
  <si>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</si>
  <si>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</si>
  <si>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</si>
  <si>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</si>
  <si>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</si>
  <si>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</si>
  <si>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</si>
  <si>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</si>
  <si>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</si>
  <si>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</si>
  <si>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</si>
  <si>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</si>
  <si>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</si>
  <si>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</si>
  <si>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</si>
  <si>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</si>
  <si>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</si>
  <si>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</si>
  <si>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</si>
  <si>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</si>
  <si>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</si>
  <si>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</si>
  <si>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</si>
  <si>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</si>
  <si>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</si>
  <si>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</si>
  <si>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</si>
  <si>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</si>
  <si>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</si>
  <si>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</si>
  <si>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</si>
  <si>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</si>
  <si>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</si>
  <si>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</si>
  <si>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</si>
  <si>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</si>
  <si>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</si>
  <si>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</si>
  <si>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</si>
  <si>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</si>
  <si>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</si>
  <si>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</si>
  <si>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</si>
  <si>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</si>
  <si>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</si>
  <si>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</si>
  <si>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</si>
  <si>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</si>
  <si>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</si>
  <si>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</si>
  <si>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</si>
  <si>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</si>
  <si>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</si>
  <si>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</si>
  <si>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</si>
  <si>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</si>
  <si>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</si>
  <si>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</si>
  <si>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</si>
  <si>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</si>
  <si>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</si>
  <si>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</si>
  <si>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</si>
  <si>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</si>
  <si>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</si>
  <si>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</si>
  <si>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</si>
  <si>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</si>
  <si>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</si>
  <si>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</si>
  <si>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</si>
  <si>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</si>
  <si>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</si>
  <si>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</si>
  <si>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</si>
  <si>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</si>
  <si>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</si>
  <si>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</si>
  <si>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</si>
  <si>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</si>
  <si>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</si>
  <si>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</si>
  <si>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</si>
  <si>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</si>
  <si>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</si>
  <si>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</si>
  <si>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</si>
  <si>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</si>
  <si>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</si>
  <si>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</si>
  <si>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</si>
  <si>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</si>
  <si>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</si>
  <si>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</si>
  <si>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</si>
  <si>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</si>
  <si>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</si>
  <si>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</si>
  <si>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</si>
  <si>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</si>
  <si>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</si>
  <si>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</si>
  <si>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</si>
  <si>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</si>
  <si>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</si>
  <si>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</si>
  <si>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</si>
  <si>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</si>
  <si>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</si>
  <si>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</si>
  <si>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</si>
  <si>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</si>
  <si>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</si>
  <si>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</si>
  <si>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</si>
  <si>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</si>
  <si>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</si>
  <si>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</si>
  <si>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</si>
  <si>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</si>
  <si>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</si>
  <si>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</si>
  <si>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</si>
  <si>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</si>
  <si>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</si>
  <si>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</si>
  <si>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</si>
  <si>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</si>
  <si>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</si>
  <si>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</si>
  <si>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</si>
  <si>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</si>
  <si>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</si>
  <si>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</si>
  <si>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</si>
  <si>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</si>
  <si>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</si>
  <si>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</si>
  <si>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</si>
  <si>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</si>
  <si>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</si>
  <si>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</si>
  <si>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</si>
  <si>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</si>
  <si>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</si>
  <si>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</si>
  <si>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</si>
  <si>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</si>
  <si>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</si>
  <si>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</si>
  <si>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</si>
  <si>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</si>
  <si>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</si>
  <si>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</si>
  <si>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</si>
  <si>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</si>
  <si>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</si>
  <si>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</si>
  <si>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</si>
  <si>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</si>
  <si>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</si>
  <si>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</si>
  <si>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</si>
  <si>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</si>
  <si>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</si>
  <si>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</si>
  <si>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</si>
  <si>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</si>
  <si>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</si>
  <si>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</si>
  <si>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</si>
  <si>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</si>
  <si>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</si>
  <si>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</si>
  <si>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</si>
  <si>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</si>
  <si>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</si>
  <si>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</si>
  <si>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</si>
  <si>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</si>
  <si>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</si>
  <si>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</si>
  <si>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</si>
  <si>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</si>
  <si>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</si>
  <si>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</si>
  <si>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</si>
  <si>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</si>
  <si>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</si>
  <si>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</si>
  <si>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</si>
  <si>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</si>
  <si>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</si>
  <si>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</si>
  <si>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</si>
  <si>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</si>
  <si>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</si>
  <si>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</si>
  <si>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</si>
  <si>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</si>
  <si>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</si>
  <si>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</si>
  <si>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</si>
  <si>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</si>
  <si>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</si>
  <si>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</si>
  <si>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</si>
  <si>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</si>
  <si>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</si>
  <si>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</si>
  <si>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</si>
  <si>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</si>
  <si>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</si>
  <si>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</si>
  <si>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</si>
  <si>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</si>
  <si>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</si>
  <si>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</si>
  <si>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</si>
  <si>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</si>
  <si>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</si>
  <si>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</si>
  <si>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</si>
  <si>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</si>
  <si>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</si>
  <si>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</si>
  <si>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</si>
  <si>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</si>
  <si>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</si>
  <si>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</si>
  <si>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</si>
  <si>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</si>
  <si>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</si>
  <si>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</si>
  <si>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</si>
  <si>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</si>
  <si>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</si>
  <si>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</si>
  <si>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</si>
  <si>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</si>
  <si>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</si>
  <si>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</si>
  <si>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</si>
  <si>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</si>
  <si>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</si>
  <si>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</si>
  <si>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</si>
  <si>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</si>
  <si>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</si>
  <si>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</si>
  <si>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</si>
  <si>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</si>
  <si>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</si>
  <si>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</si>
  <si>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</si>
  <si>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</si>
  <si>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</si>
  <si>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</si>
  <si>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</si>
  <si>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</si>
  <si>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</si>
  <si>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</si>
  <si>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</si>
  <si>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</si>
  <si>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</si>
  <si>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</si>
  <si>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</si>
  <si>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</si>
  <si>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</si>
  <si>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</si>
  <si>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</si>
  <si>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</si>
  <si>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</si>
  <si>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</si>
  <si>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</si>
  <si>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</si>
  <si>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</si>
  <si>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</si>
  <si>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</si>
  <si>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</si>
  <si>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</si>
  <si>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</si>
  <si>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</si>
  <si>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</si>
  <si>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</si>
  <si>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</si>
  <si>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</si>
  <si>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</si>
  <si>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</si>
  <si>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</si>
  <si>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</si>
  <si>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</si>
  <si>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</si>
  <si>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</si>
  <si>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</si>
  <si>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</si>
  <si>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</si>
  <si>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</si>
  <si>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</si>
  <si>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</si>
  <si>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</si>
  <si>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</si>
  <si>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</si>
  <si>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</si>
  <si>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</si>
  <si>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</si>
  <si>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</si>
  <si>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</si>
  <si>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</si>
  <si>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</si>
  <si>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</si>
  <si>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</si>
  <si>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</si>
  <si>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</si>
  <si>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</si>
  <si>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</si>
  <si>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</si>
  <si>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</si>
  <si>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</si>
  <si>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</si>
  <si>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</si>
  <si>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</si>
  <si>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</si>
  <si>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</si>
  <si>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</si>
  <si>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</si>
  <si>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</si>
  <si>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</si>
  <si>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</si>
  <si>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</si>
  <si>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</si>
  <si>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</si>
  <si>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</si>
  <si>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</si>
  <si>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</si>
  <si>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</si>
  <si>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</si>
  <si>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</si>
  <si>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</si>
  <si>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</si>
  <si>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</si>
  <si>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</si>
  <si>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</si>
  <si>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</si>
  <si>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</si>
  <si>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</si>
  <si>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</si>
  <si>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</si>
  <si>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</si>
  <si>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</si>
  <si>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</si>
  <si>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</si>
  <si>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</si>
  <si>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</si>
  <si>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</si>
  <si>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</si>
  <si>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</si>
  <si>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</si>
  <si>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</si>
  <si>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</si>
  <si>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</si>
  <si>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</si>
  <si>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</si>
  <si>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</si>
  <si>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</si>
  <si>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</si>
  <si>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</si>
  <si>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</si>
  <si>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</si>
  <si>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</si>
  <si>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</si>
  <si>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</si>
  <si>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</si>
  <si>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</si>
  <si>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</si>
  <si>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</si>
  <si>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</si>
  <si>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</si>
  <si>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</si>
  <si>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</si>
  <si>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</si>
  <si>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</si>
  <si>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</si>
  <si>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</si>
  <si>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</si>
  <si>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</si>
  <si>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</si>
  <si>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</si>
  <si>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</si>
  <si>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</si>
  <si>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</si>
  <si>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</si>
  <si>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</si>
  <si>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</si>
  <si>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</si>
  <si>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</si>
  <si>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</si>
  <si>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</si>
  <si>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</si>
  <si>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</si>
  <si>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</si>
  <si>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</si>
  <si>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</si>
  <si>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</si>
  <si>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</si>
  <si>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</si>
  <si>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</si>
  <si>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</si>
  <si>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</si>
  <si>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</si>
  <si>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</si>
  <si>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</si>
  <si>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</si>
  <si>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</si>
  <si>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</si>
  <si>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</si>
  <si>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</si>
  <si>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</si>
  <si>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</si>
  <si>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</si>
  <si>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</si>
  <si>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</si>
  <si>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</si>
  <si>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</si>
  <si>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</si>
  <si>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</si>
  <si>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</si>
  <si>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</si>
  <si>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</si>
  <si>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</si>
  <si>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</si>
  <si>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</si>
  <si>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</si>
  <si>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</si>
  <si>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</si>
  <si>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</si>
  <si>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</si>
  <si>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</si>
  <si>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</si>
  <si>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</si>
  <si>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</si>
  <si>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</si>
  <si>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</si>
  <si>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</si>
  <si>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</si>
  <si>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</si>
  <si>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</si>
  <si>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</si>
  <si>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</si>
  <si>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</si>
  <si>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</si>
  <si>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</si>
  <si>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</si>
  <si>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</si>
  <si>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</si>
  <si>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</si>
  <si>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</si>
  <si>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</si>
  <si>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</si>
  <si>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</si>
  <si>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</si>
  <si>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</si>
  <si>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</si>
  <si>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</si>
  <si>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</si>
  <si>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</si>
  <si>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</si>
  <si>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</si>
  <si>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</si>
  <si>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</si>
  <si>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</si>
  <si>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</si>
  <si>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</si>
  <si>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</si>
  <si>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</si>
  <si>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</si>
  <si>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</si>
  <si>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</si>
  <si>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</si>
  <si>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</si>
  <si>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</si>
  <si>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</si>
  <si>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</si>
  <si>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</si>
  <si>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</si>
  <si>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</si>
  <si>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</si>
  <si>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</si>
  <si>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</si>
  <si>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</si>
  <si>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</si>
  <si>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</si>
  <si>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</si>
  <si>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</si>
  <si>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</si>
  <si>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</si>
  <si>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</si>
  <si>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</si>
  <si>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</si>
  <si>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</si>
  <si>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</si>
  <si>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</si>
  <si>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</si>
  <si>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</si>
  <si>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</si>
  <si>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</si>
  <si>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</si>
  <si>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</si>
  <si>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</si>
  <si>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</si>
  <si>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</si>
  <si>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</si>
  <si>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</si>
  <si>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</si>
  <si>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</si>
  <si>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</si>
  <si>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</si>
  <si>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</si>
  <si>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</si>
  <si>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</si>
  <si>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</si>
  <si>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</si>
  <si>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</si>
  <si>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</si>
  <si>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</si>
  <si>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</si>
  <si>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</si>
  <si>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</si>
  <si>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</si>
  <si>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</si>
  <si>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</si>
  <si>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</si>
  <si>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</si>
  <si>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</si>
  <si>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</si>
  <si>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</si>
  <si>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</si>
  <si>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</si>
  <si>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</si>
  <si>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</si>
  <si>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</si>
  <si>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</si>
  <si>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</si>
  <si>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</si>
  <si>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</si>
  <si>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</si>
  <si>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</si>
  <si>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</si>
  <si>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</si>
  <si>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</si>
  <si>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</si>
  <si>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</si>
  <si>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</si>
  <si>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</si>
  <si>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</si>
  <si>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</si>
  <si>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</si>
  <si>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</si>
  <si>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</si>
  <si>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</si>
  <si>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</si>
  <si>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</si>
  <si>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</si>
  <si>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</si>
  <si>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</si>
  <si>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</si>
  <si>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</si>
  <si>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</si>
  <si>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</si>
  <si>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</si>
  <si>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</si>
  <si>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</si>
  <si>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</si>
  <si>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</si>
  <si>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</si>
  <si>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</si>
  <si>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</si>
  <si>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</si>
  <si>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</si>
  <si>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</si>
  <si>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</si>
  <si>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</si>
  <si>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</si>
  <si>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</si>
  <si>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</si>
  <si>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</si>
  <si>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</si>
  <si>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</si>
  <si>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</si>
  <si>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</si>
  <si>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</si>
  <si>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</si>
  <si>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</si>
  <si>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</si>
  <si>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</si>
  <si>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</si>
  <si>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</si>
  <si>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</si>
  <si>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</si>
  <si>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</si>
  <si>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</si>
  <si>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</si>
  <si>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</si>
  <si>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</si>
  <si>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</si>
  <si>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</si>
  <si>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</si>
  <si>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</si>
  <si>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</si>
  <si>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</si>
  <si>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</si>
  <si>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</si>
  <si>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</si>
  <si>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</si>
  <si>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</si>
  <si>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</si>
  <si>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</si>
  <si>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</si>
  <si>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</si>
  <si>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</si>
  <si>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</si>
  <si>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</si>
  <si>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</si>
  <si>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</si>
  <si>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</si>
  <si>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</si>
  <si>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</si>
  <si>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</si>
  <si>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</si>
  <si>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</si>
  <si>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</si>
  <si>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</si>
  <si>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</si>
  <si>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</si>
  <si>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</si>
  <si>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</si>
  <si>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</si>
  <si>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</si>
  <si>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</si>
  <si>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</si>
  <si>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</si>
  <si>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</si>
  <si>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</si>
  <si>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</si>
  <si>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</si>
  <si>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</si>
  <si>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</si>
  <si>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</si>
  <si>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</si>
  <si>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</si>
  <si>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</si>
  <si>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</si>
  <si>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</si>
  <si>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</si>
  <si>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</si>
  <si>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</si>
  <si>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</si>
  <si>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</si>
  <si>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</si>
  <si>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</si>
  <si>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</si>
  <si>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</si>
  <si>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</si>
  <si>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</si>
  <si>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</si>
  <si>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</si>
  <si>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</si>
  <si>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</si>
  <si>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</si>
  <si>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</si>
  <si>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</si>
  <si>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</si>
  <si>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</si>
  <si>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</si>
  <si>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</si>
  <si>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</si>
  <si>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</si>
  <si>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</si>
  <si>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</si>
  <si>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</si>
  <si>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</si>
  <si>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</si>
  <si>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</si>
  <si>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</si>
  <si>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</si>
  <si>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</si>
  <si>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</si>
  <si>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</si>
  <si>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</si>
  <si>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</si>
  <si>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</si>
  <si>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</si>
  <si>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</si>
  <si>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</si>
  <si>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</si>
  <si>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</si>
  <si>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</si>
  <si>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</si>
  <si>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</si>
  <si>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</si>
  <si>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</si>
  <si>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</si>
  <si>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</si>
  <si>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</si>
  <si>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</si>
  <si>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</si>
  <si>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</si>
  <si>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</si>
  <si>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</si>
  <si>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</si>
  <si>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</si>
  <si>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</si>
  <si>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</si>
  <si>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</si>
  <si>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</si>
  <si>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</si>
  <si>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</si>
  <si>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</si>
  <si>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</si>
  <si>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</si>
  <si>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</si>
  <si>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</si>
  <si>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</si>
  <si>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</si>
  <si>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</si>
  <si>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</si>
  <si>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</si>
  <si>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</si>
  <si>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</si>
  <si>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</si>
  <si>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</si>
  <si>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</si>
  <si>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</si>
  <si>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</si>
  <si>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</si>
  <si>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</si>
  <si>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</si>
  <si>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</si>
  <si>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</si>
  <si>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</si>
  <si>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</si>
  <si>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</si>
  <si>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</si>
  <si>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</si>
  <si>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</si>
  <si>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</si>
  <si>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</si>
  <si>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</si>
  <si>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</si>
  <si>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</si>
  <si>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</si>
  <si>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</si>
  <si>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</si>
  <si>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</si>
  <si>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</si>
  <si>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</si>
  <si>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LICENCIA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</si>
  <si>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</si>
  <si>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</si>
  <si>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</si>
  <si>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</si>
  <si>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</si>
  <si>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</si>
  <si>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</si>
  <si>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</si>
  <si>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</si>
  <si>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</si>
  <si>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</si>
  <si>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</si>
  <si>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</si>
  <si>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</si>
  <si>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Cabrera </t>
  </si>
  <si>
    <t>Raygoza</t>
  </si>
  <si>
    <t>Jonathan Geovanny</t>
  </si>
  <si>
    <t xml:space="preserve"> ALTA 21/06/2020</t>
  </si>
  <si>
    <t>Licencia apartir del 9 de julio hasta el 9 de enero 2021</t>
  </si>
  <si>
    <t>Claudia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</si>
  <si>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</si>
  <si>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</si>
  <si>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</si>
  <si>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</si>
  <si>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</si>
  <si>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</si>
  <si>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</si>
  <si>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</si>
  <si>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</si>
  <si>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17 de abril 2020</t>
  </si>
  <si>
    <t>alta el 8 de mayo 2020</t>
  </si>
  <si>
    <t>PAGO DEL MES DE OCTUBRE 2020</t>
  </si>
  <si>
    <t>H. Ayuntamiento de Hostotipaquillo Jal 2018-2021 Nomina Correspondiente al mes de Octubre  2020</t>
  </si>
  <si>
    <t>NOMINA DE REGIDORES DEL 16 AL 31 DE OCTUBRE DE 2020</t>
  </si>
  <si>
    <t>NOMINA PERSONAL PERMANENTE DEL 16 AL 31 DE OCTUBRE  2020</t>
  </si>
  <si>
    <t>NOMINA PERSONAL PERMANENTE DE 16 AL 31 DE OCTUBRE  2020</t>
  </si>
  <si>
    <t>NOMINA PERSONAL PERMANENTE DEL 16 AL 31 OCTUBRE  2020</t>
  </si>
  <si>
    <t>NOMINA PERSONAL PERMANENTE DEL 16 AL 31  DE OCTUBRE DE   2020</t>
  </si>
  <si>
    <t>NOMINA PERSONAL PERMANENTE DEL 16 AL 31  DE OCTUBRE 2020</t>
  </si>
  <si>
    <t>NOMINA PERSONAL PERMANENTE DEL 16 AL 31 DE OCTUBRE 2020</t>
  </si>
  <si>
    <t>NOMINA  DEL 16 AL 31 DE OCTUBRE  2020</t>
  </si>
  <si>
    <t>NOMINA DEL 16  AL 31 DE OCTUBRE  DE 2020</t>
  </si>
  <si>
    <t>NOMINA DEL 16  AL 31 DE OCTUBRE  DEL 2020</t>
  </si>
  <si>
    <t>NOMINA DE PENSIONADOS DEL 16 AL 31  DE OCTUBRE   2020</t>
  </si>
  <si>
    <t xml:space="preserve">PENSION POR JUBILACION </t>
  </si>
  <si>
    <t>PENSION POR INVALIDEZ</t>
  </si>
  <si>
    <t xml:space="preserve">TOTAL </t>
  </si>
  <si>
    <t>3 DIAS</t>
  </si>
  <si>
    <t>ALVARO CARRILLO LOPEZ</t>
  </si>
  <si>
    <t>15 DIAS</t>
  </si>
  <si>
    <t>PENSION AL 100%</t>
  </si>
  <si>
    <t>PENSION AL 90%</t>
  </si>
  <si>
    <t>PENSION AL 60%</t>
  </si>
  <si>
    <t>OFICIAL DE LINEA         ( PROTECCION CIVIL )</t>
  </si>
  <si>
    <t xml:space="preserve">                DEL 16 AL 31 DE OCTUBRE  DEL 2020</t>
  </si>
  <si>
    <t>REBAJAR 1 DIA 28/10/2020</t>
  </si>
  <si>
    <t>REBAJR 1 DIA 28/2020</t>
  </si>
  <si>
    <t xml:space="preserve">MARIA DEL CONSUELO AMEZQUITA SANDOVAL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</si>
</sst>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F2"/>
        <bgColor indexed="64"/>
      </patternFill>
    </fill>
  </fills>
  <borders count="4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15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0" fontId="32" fillId="18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5" fontId="32" fillId="0" borderId="0" xfId="0" applyNumberFormat="1" applyFont="1" applyAlignment="1">
      <alignment vertical="center"/>
    </xf>
    <xf numFmtId="0" fontId="0" fillId="17" borderId="5" xfId="0" applyFill="1" applyBorder="1"/>
    <xf numFmtId="43" fontId="81" fillId="17" borderId="5" xfId="1" applyFont="1" applyFill="1" applyBorder="1"/>
    <xf numFmtId="43" fontId="0" fillId="17" borderId="5" xfId="1" applyFont="1" applyFill="1" applyBorder="1"/>
    <xf numFmtId="44" fontId="0" fillId="17" borderId="5" xfId="1" applyNumberFormat="1" applyFont="1" applyFill="1" applyBorder="1"/>
    <xf numFmtId="43" fontId="81" fillId="3" borderId="5" xfId="1" applyFont="1" applyFill="1" applyBorder="1"/>
    <xf numFmtId="43" fontId="0" fillId="3" borderId="5" xfId="1" applyFont="1" applyFill="1" applyBorder="1"/>
    <xf numFmtId="44" fontId="0" fillId="3" borderId="5" xfId="1" applyNumberFormat="1" applyFont="1" applyFill="1" applyBorder="1"/>
    <xf numFmtId="44" fontId="0" fillId="16" borderId="5" xfId="0" applyNumberFormat="1" applyFill="1" applyBorder="1"/>
    <xf numFmtId="44" fontId="0" fillId="6" borderId="5" xfId="0" applyNumberFormat="1" applyFill="1" applyBorder="1"/>
    <xf numFmtId="0" fontId="0" fillId="17" borderId="0" xfId="0" applyFill="1"/>
    <xf numFmtId="0" fontId="85" fillId="20" borderId="0" xfId="0" applyFont="1" applyFill="1" applyAlignment="1">
      <alignment vertical="center"/>
    </xf>
    <xf numFmtId="44" fontId="39" fillId="0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84" fillId="0" borderId="0" xfId="0" applyFont="1"/>
    <xf numFmtId="0" fontId="34" fillId="19" borderId="9" xfId="0" applyFont="1" applyFill="1" applyBorder="1"/>
    <xf numFmtId="49" fontId="1" fillId="17" borderId="5" xfId="0" applyNumberFormat="1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17" borderId="9" xfId="0" applyNumberFormat="1" applyFont="1" applyFill="1" applyBorder="1" applyAlignment="1">
      <alignment vertical="center"/>
    </xf>
    <xf numFmtId="0" fontId="1" fillId="17" borderId="7" xfId="0" applyFont="1" applyFill="1" applyBorder="1" applyAlignment="1">
      <alignment vertical="center"/>
    </xf>
    <xf numFmtId="44" fontId="13" fillId="16" borderId="5" xfId="2" applyFont="1" applyFill="1" applyBorder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0" fontId="13" fillId="17" borderId="7" xfId="0" applyFont="1" applyFill="1" applyBorder="1" applyAlignment="1">
      <alignment vertical="center"/>
    </xf>
    <xf numFmtId="43" fontId="70" fillId="17" borderId="7" xfId="1" applyFont="1" applyFill="1" applyBorder="1" applyAlignment="1">
      <alignment vertical="center"/>
    </xf>
    <xf numFmtId="0" fontId="21" fillId="17" borderId="7" xfId="0" applyFont="1" applyFill="1" applyBorder="1" applyAlignment="1">
      <alignment vertical="center"/>
    </xf>
    <xf numFmtId="44" fontId="13" fillId="17" borderId="7" xfId="2" applyFont="1" applyFill="1" applyBorder="1" applyAlignment="1">
      <alignment vertical="center"/>
    </xf>
    <xf numFmtId="44" fontId="13" fillId="17" borderId="5" xfId="2" applyFont="1" applyFill="1" applyBorder="1" applyAlignment="1">
      <alignment vertical="center"/>
    </xf>
    <xf numFmtId="44" fontId="13" fillId="17" borderId="9" xfId="2" applyFont="1" applyFill="1" applyBorder="1" applyAlignment="1">
      <alignment vertical="center"/>
    </xf>
    <xf numFmtId="2" fontId="32" fillId="17" borderId="8" xfId="0" applyNumberFormat="1" applyFont="1" applyFill="1" applyBorder="1" applyAlignment="1">
      <alignment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164" fontId="39" fillId="0" borderId="0" xfId="0" applyNumberFormat="1" applyFont="1" applyAlignment="1">
      <alignment vertical="center"/>
    </xf>
    <xf numFmtId="164" fontId="39" fillId="21" borderId="5" xfId="0" applyNumberFormat="1" applyFont="1" applyFill="1" applyBorder="1" applyAlignment="1">
      <alignment vertical="center"/>
    </xf>
    <xf numFmtId="164" fontId="1" fillId="21" borderId="5" xfId="0" applyNumberFormat="1" applyFont="1" applyFill="1" applyBorder="1" applyAlignment="1">
      <alignment vertical="center"/>
    </xf>
    <xf numFmtId="49" fontId="5" fillId="16" borderId="27" xfId="0" applyNumberFormat="1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6" borderId="4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7" fillId="16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83" fillId="0" borderId="0" xfId="1" applyFont="1" applyFill="1" applyAlignment="1">
      <alignment vertical="center"/>
    </xf>
    <xf numFmtId="43" fontId="15" fillId="3" borderId="0" xfId="1" applyFont="1" applyFill="1" applyBorder="1" applyAlignment="1">
      <alignment vertical="center"/>
    </xf>
    <xf numFmtId="43" fontId="15" fillId="3" borderId="0" xfId="1" applyFont="1" applyFill="1" applyAlignment="1">
      <alignment vertical="center"/>
    </xf>
    <xf numFmtId="0" fontId="86" fillId="0" borderId="0" xfId="0" applyFont="1"/>
    <xf numFmtId="49" fontId="1" fillId="22" borderId="5" xfId="0" applyNumberFormat="1" applyFont="1" applyFill="1" applyBorder="1" applyAlignment="1">
      <alignment vertical="center"/>
    </xf>
    <xf numFmtId="0" fontId="1" fillId="22" borderId="5" xfId="0" applyFont="1" applyFill="1" applyBorder="1" applyAlignment="1">
      <alignment vertical="center"/>
    </xf>
    <xf numFmtId="0" fontId="1" fillId="22" borderId="5" xfId="0" applyFont="1" applyFill="1" applyBorder="1" applyAlignment="1">
      <alignment horizontal="center" vertical="center"/>
    </xf>
    <xf numFmtId="43" fontId="67" fillId="22" borderId="5" xfId="1" applyFont="1" applyFill="1" applyBorder="1" applyAlignment="1">
      <alignment horizontal="center" vertical="center"/>
    </xf>
    <xf numFmtId="164" fontId="1" fillId="22" borderId="5" xfId="0" applyNumberFormat="1" applyFont="1" applyFill="1" applyBorder="1" applyAlignment="1">
      <alignment vertical="center"/>
    </xf>
    <xf numFmtId="164" fontId="8" fillId="22" borderId="5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21" borderId="5" xfId="0" applyFont="1" applyFill="1" applyBorder="1" applyAlignment="1">
      <alignment horizontal="right" vertical="center"/>
    </xf>
    <xf numFmtId="0" fontId="43" fillId="21" borderId="5" xfId="0" applyFon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EBF2"/>
      <color rgb="FFFFDDE8"/>
      <color rgb="FFFFC5D8"/>
      <color rgb="FFFF6699"/>
      <color rgb="FFFFFAEB"/>
      <color rgb="FFFDFEF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73</xdr:row>
      <xdr:rowOff>31402</xdr:rowOff>
    </xdr:from>
    <xdr:to>
      <xdr:col>4</xdr:col>
      <xdr:colOff>136072</xdr:colOff>
      <xdr:row>75</xdr:row>
      <xdr:rowOff>94203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17555" y="25236017"/>
          <a:ext cx="2826099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  <a:p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1350248</xdr:colOff>
      <xdr:row>73</xdr:row>
      <xdr:rowOff>31401</xdr:rowOff>
    </xdr:from>
    <xdr:to>
      <xdr:col>8</xdr:col>
      <xdr:colOff>345412</xdr:colOff>
      <xdr:row>75</xdr:row>
      <xdr:rowOff>125604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657830" y="25236016"/>
          <a:ext cx="3715796" cy="471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Ilina Cristina Esparza Rios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868764</xdr:colOff>
      <xdr:row>73</xdr:row>
      <xdr:rowOff>20934</xdr:rowOff>
    </xdr:from>
    <xdr:to>
      <xdr:col>11</xdr:col>
      <xdr:colOff>1884066</xdr:colOff>
      <xdr:row>75</xdr:row>
      <xdr:rowOff>104670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9985550" y="25225549"/>
          <a:ext cx="3234313" cy="46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Eric Leal Montes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1360715</xdr:colOff>
      <xdr:row>72</xdr:row>
      <xdr:rowOff>177939</xdr:rowOff>
    </xdr:from>
    <xdr:to>
      <xdr:col>8</xdr:col>
      <xdr:colOff>303544</xdr:colOff>
      <xdr:row>72</xdr:row>
      <xdr:rowOff>177939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4668297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72</xdr:row>
      <xdr:rowOff>177939</xdr:rowOff>
    </xdr:from>
    <xdr:to>
      <xdr:col>11</xdr:col>
      <xdr:colOff>1988735</xdr:colOff>
      <xdr:row>72</xdr:row>
      <xdr:rowOff>177939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9661071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H14" sqref="H14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36.8554687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625"/>
      <c r="D1" s="626"/>
      <c r="E1" s="626"/>
      <c r="F1" s="626"/>
      <c r="G1" s="626"/>
      <c r="H1" s="626"/>
      <c r="I1" s="318"/>
      <c r="J1" s="29"/>
      <c r="K1" s="29"/>
      <c r="L1" s="29"/>
      <c r="M1" s="29"/>
    </row>
    <row r="2" spans="2:20" ht="19.5">
      <c r="B2" s="627" t="s">
        <v>218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9"/>
    </row>
    <row r="3" spans="2:20">
      <c r="B3" s="630" t="s">
        <v>790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2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5" t="s">
        <v>1</v>
      </c>
      <c r="C6" s="506" t="s">
        <v>2</v>
      </c>
      <c r="D6" s="506" t="s">
        <v>3</v>
      </c>
      <c r="E6" s="506" t="s">
        <v>233</v>
      </c>
      <c r="F6" s="507" t="s">
        <v>4</v>
      </c>
      <c r="G6" s="507" t="s">
        <v>5</v>
      </c>
      <c r="H6" s="506" t="s">
        <v>48</v>
      </c>
      <c r="I6" s="506" t="s">
        <v>618</v>
      </c>
      <c r="J6" s="506" t="s">
        <v>47</v>
      </c>
      <c r="K6" s="507" t="s">
        <v>6</v>
      </c>
      <c r="L6" s="508" t="s">
        <v>7</v>
      </c>
      <c r="M6" s="509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275</v>
      </c>
      <c r="C8" s="3" t="s">
        <v>31</v>
      </c>
      <c r="D8" s="9">
        <v>11894</v>
      </c>
      <c r="E8" s="9" t="s">
        <v>234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276</v>
      </c>
      <c r="C9" s="3" t="s">
        <v>474</v>
      </c>
      <c r="D9" s="9">
        <v>11894</v>
      </c>
      <c r="E9" s="9" t="s">
        <v>234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277</v>
      </c>
      <c r="C10" s="3" t="s">
        <v>591</v>
      </c>
      <c r="D10" s="9">
        <v>11894</v>
      </c>
      <c r="E10" s="9" t="s">
        <v>234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278</v>
      </c>
      <c r="C11" s="3" t="s">
        <v>43</v>
      </c>
      <c r="D11" s="9">
        <v>11894</v>
      </c>
      <c r="E11" s="9" t="s">
        <v>234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279</v>
      </c>
      <c r="C12" s="3" t="s">
        <v>44</v>
      </c>
      <c r="D12" s="9">
        <v>11894</v>
      </c>
      <c r="E12" s="9" t="s">
        <v>234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81" t="s">
        <v>280</v>
      </c>
      <c r="C13" s="582" t="s">
        <v>814</v>
      </c>
      <c r="D13" s="583">
        <v>11894</v>
      </c>
      <c r="E13" s="583" t="s">
        <v>234</v>
      </c>
      <c r="F13" s="583">
        <v>0</v>
      </c>
      <c r="G13" s="583">
        <f>D13</f>
        <v>11894</v>
      </c>
      <c r="H13" s="583">
        <v>0</v>
      </c>
      <c r="I13" s="583"/>
      <c r="J13" s="583">
        <v>1893.83</v>
      </c>
      <c r="K13" s="583">
        <f t="shared" si="0"/>
        <v>1893.83</v>
      </c>
      <c r="L13" s="584">
        <f t="shared" si="1"/>
        <v>10000.17</v>
      </c>
      <c r="M13" s="585"/>
      <c r="N13" s="335"/>
      <c r="P13" s="170"/>
    </row>
    <row r="14" spans="2:20" ht="39.950000000000003" customHeight="1">
      <c r="B14" s="171" t="s">
        <v>281</v>
      </c>
      <c r="C14" s="3" t="s">
        <v>35</v>
      </c>
      <c r="D14" s="9">
        <v>11894</v>
      </c>
      <c r="E14" s="9" t="s">
        <v>234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282</v>
      </c>
      <c r="C15" s="3" t="s">
        <v>33</v>
      </c>
      <c r="D15" s="9">
        <v>11894</v>
      </c>
      <c r="E15" s="9" t="s">
        <v>234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230</v>
      </c>
    </row>
    <row r="16" spans="2:20" ht="39.950000000000003" customHeight="1">
      <c r="B16" s="171" t="s">
        <v>283</v>
      </c>
      <c r="C16" s="3" t="s">
        <v>34</v>
      </c>
      <c r="D16" s="9">
        <v>11894</v>
      </c>
      <c r="E16" s="9" t="s">
        <v>234</v>
      </c>
      <c r="F16" s="9">
        <v>0</v>
      </c>
      <c r="G16" s="9">
        <v>11894</v>
      </c>
      <c r="H16" s="9">
        <v>0</v>
      </c>
      <c r="I16" s="486">
        <v>2000</v>
      </c>
      <c r="J16" s="9">
        <v>1893.83</v>
      </c>
      <c r="K16" s="9">
        <f t="shared" si="0"/>
        <v>1893.83</v>
      </c>
      <c r="L16" s="172">
        <f t="shared" si="1"/>
        <v>8000.17</v>
      </c>
      <c r="M16" s="3"/>
      <c r="P16" s="170"/>
      <c r="S16" s="173">
        <v>262038.17</v>
      </c>
      <c r="T16" s="168" t="s">
        <v>219</v>
      </c>
    </row>
    <row r="17" spans="2:20" ht="39.950000000000003" customHeight="1">
      <c r="B17" s="171" t="s">
        <v>284</v>
      </c>
      <c r="C17" s="3" t="s">
        <v>616</v>
      </c>
      <c r="D17" s="9">
        <v>11894</v>
      </c>
      <c r="E17" s="9" t="s">
        <v>235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0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231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232</v>
      </c>
    </row>
    <row r="22" spans="2:20">
      <c r="B22" s="633" t="s">
        <v>461</v>
      </c>
      <c r="C22" s="633"/>
      <c r="D22" s="181"/>
      <c r="F22" s="634" t="s">
        <v>45</v>
      </c>
      <c r="G22" s="634"/>
      <c r="H22" s="634"/>
      <c r="I22" s="634"/>
      <c r="J22" s="634"/>
      <c r="L22" s="634" t="s">
        <v>629</v>
      </c>
      <c r="M22" s="634"/>
      <c r="N22" s="6"/>
      <c r="P22" s="115"/>
      <c r="Q22" s="115"/>
      <c r="S22" s="174"/>
    </row>
    <row r="23" spans="2:20">
      <c r="B23" s="634" t="s">
        <v>150</v>
      </c>
      <c r="C23" s="634"/>
      <c r="D23" s="6"/>
      <c r="F23" s="634" t="s">
        <v>445</v>
      </c>
      <c r="G23" s="634"/>
      <c r="H23" s="634"/>
      <c r="I23" s="634"/>
      <c r="J23" s="634"/>
      <c r="L23" s="634" t="s">
        <v>30</v>
      </c>
      <c r="M23" s="634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220</v>
      </c>
    </row>
    <row r="26" spans="2:20">
      <c r="P26" s="170"/>
    </row>
    <row r="27" spans="2:20">
      <c r="L27" s="295">
        <f>G18+H18-K18-I18</f>
        <v>98001.7</v>
      </c>
      <c r="P27" s="170"/>
      <c r="S27" s="173">
        <v>103878.79</v>
      </c>
      <c r="T27" s="168" t="s">
        <v>229</v>
      </c>
    </row>
    <row r="28" spans="2:20">
      <c r="L28" s="295">
        <f>L18-L27</f>
        <v>0</v>
      </c>
      <c r="P28" s="170"/>
    </row>
    <row r="29" spans="2:20">
      <c r="P29" s="170"/>
      <c r="S29" s="173">
        <v>128320</v>
      </c>
      <c r="T29" s="168" t="s">
        <v>271</v>
      </c>
    </row>
    <row r="30" spans="2:20">
      <c r="P30" s="179"/>
      <c r="S30" s="180">
        <f>SUM(S15:S29)</f>
        <v>806112.31</v>
      </c>
      <c r="T30" s="168" t="s">
        <v>272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4"/>
  <sheetViews>
    <sheetView topLeftCell="A2" workbookViewId="0">
      <selection activeCell="G33" sqref="G33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01" t="s">
        <v>585</v>
      </c>
      <c r="D2" s="701"/>
      <c r="E2" s="701"/>
      <c r="F2" s="701"/>
      <c r="G2" s="701"/>
      <c r="H2" s="701"/>
      <c r="I2" s="701"/>
      <c r="J2" s="701"/>
      <c r="K2" s="274"/>
    </row>
    <row r="3" spans="3:12" ht="42.75">
      <c r="C3" s="702" t="s">
        <v>788</v>
      </c>
      <c r="D3" s="702"/>
      <c r="E3" s="702"/>
      <c r="F3" s="702"/>
      <c r="G3" s="702"/>
      <c r="H3" s="702"/>
      <c r="I3" s="702"/>
      <c r="J3" s="338"/>
      <c r="K3" s="199"/>
    </row>
    <row r="4" spans="3:12" ht="18.75">
      <c r="C4" s="703" t="s">
        <v>362</v>
      </c>
      <c r="D4" s="705" t="s">
        <v>52</v>
      </c>
      <c r="E4" s="705"/>
      <c r="F4" s="705"/>
      <c r="G4" s="197"/>
      <c r="H4" s="197" t="s">
        <v>692</v>
      </c>
      <c r="I4" s="197"/>
      <c r="J4" s="183"/>
      <c r="K4" s="183"/>
    </row>
    <row r="5" spans="3:12" ht="18.75">
      <c r="C5" s="704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361</v>
      </c>
      <c r="K5" s="275" t="s">
        <v>573</v>
      </c>
    </row>
    <row r="6" spans="3:12">
      <c r="C6" s="192">
        <v>1</v>
      </c>
      <c r="D6" s="195" t="s">
        <v>325</v>
      </c>
      <c r="E6" s="195" t="s">
        <v>352</v>
      </c>
      <c r="F6" s="191" t="s">
        <v>351</v>
      </c>
      <c r="G6" s="195" t="s">
        <v>350</v>
      </c>
      <c r="H6" s="195">
        <v>122</v>
      </c>
      <c r="I6" s="194" t="s">
        <v>359</v>
      </c>
      <c r="J6" s="420">
        <v>1102</v>
      </c>
      <c r="K6" s="193"/>
    </row>
    <row r="7" spans="3:12">
      <c r="C7" s="192">
        <v>2</v>
      </c>
      <c r="D7" s="195" t="s">
        <v>338</v>
      </c>
      <c r="E7" s="195" t="s">
        <v>333</v>
      </c>
      <c r="F7" s="195" t="s">
        <v>337</v>
      </c>
      <c r="G7" s="195" t="s">
        <v>336</v>
      </c>
      <c r="H7" s="195">
        <v>122</v>
      </c>
      <c r="I7" s="196">
        <v>15544028286487</v>
      </c>
      <c r="J7" s="420">
        <v>1102</v>
      </c>
      <c r="K7" s="193"/>
    </row>
    <row r="8" spans="3:12">
      <c r="C8" s="192">
        <v>3</v>
      </c>
      <c r="D8" s="195" t="s">
        <v>660</v>
      </c>
      <c r="E8" s="195" t="s">
        <v>661</v>
      </c>
      <c r="F8" s="195" t="s">
        <v>662</v>
      </c>
      <c r="G8" s="195" t="s">
        <v>335</v>
      </c>
      <c r="H8" s="195">
        <v>122</v>
      </c>
      <c r="I8" s="196">
        <v>15600228287644</v>
      </c>
      <c r="J8" s="420">
        <v>1102</v>
      </c>
      <c r="K8" s="193"/>
    </row>
    <row r="9" spans="3:12">
      <c r="C9" s="192">
        <v>4</v>
      </c>
      <c r="D9" s="195" t="s">
        <v>349</v>
      </c>
      <c r="E9" s="195" t="s">
        <v>483</v>
      </c>
      <c r="F9" s="195" t="s">
        <v>482</v>
      </c>
      <c r="G9" s="195" t="s">
        <v>693</v>
      </c>
      <c r="H9" s="195">
        <v>122</v>
      </c>
      <c r="I9" s="196"/>
      <c r="J9" s="420">
        <v>1102</v>
      </c>
      <c r="K9" s="193"/>
    </row>
    <row r="10" spans="3:12">
      <c r="C10" s="192">
        <v>5</v>
      </c>
      <c r="D10" s="195" t="s">
        <v>321</v>
      </c>
      <c r="E10" s="195" t="s">
        <v>320</v>
      </c>
      <c r="F10" s="191" t="s">
        <v>319</v>
      </c>
      <c r="G10" s="195" t="s">
        <v>318</v>
      </c>
      <c r="H10" s="195">
        <v>122</v>
      </c>
      <c r="I10" s="194" t="s">
        <v>347</v>
      </c>
      <c r="J10" s="420">
        <v>1102</v>
      </c>
      <c r="K10" s="306"/>
      <c r="L10" s="339"/>
    </row>
    <row r="11" spans="3:12">
      <c r="C11" s="192">
        <v>6</v>
      </c>
      <c r="D11" s="191" t="s">
        <v>317</v>
      </c>
      <c r="E11" s="191" t="s">
        <v>316</v>
      </c>
      <c r="F11" s="191" t="s">
        <v>315</v>
      </c>
      <c r="G11" s="191" t="s">
        <v>314</v>
      </c>
      <c r="H11" s="195">
        <v>122</v>
      </c>
      <c r="I11" s="194" t="s">
        <v>342</v>
      </c>
      <c r="J11" s="420">
        <v>1102</v>
      </c>
      <c r="K11" s="193"/>
    </row>
    <row r="12" spans="3:12">
      <c r="C12" s="192">
        <v>7</v>
      </c>
      <c r="D12" s="195" t="s">
        <v>567</v>
      </c>
      <c r="E12" s="195" t="s">
        <v>568</v>
      </c>
      <c r="F12" s="195" t="s">
        <v>569</v>
      </c>
      <c r="G12" s="195" t="s">
        <v>570</v>
      </c>
      <c r="H12" s="195">
        <v>122</v>
      </c>
      <c r="I12" s="194" t="s">
        <v>339</v>
      </c>
      <c r="J12" s="420">
        <v>1646</v>
      </c>
      <c r="K12" s="193"/>
    </row>
    <row r="13" spans="3:12">
      <c r="C13" s="192">
        <v>8</v>
      </c>
      <c r="D13" s="195" t="s">
        <v>600</v>
      </c>
      <c r="E13" s="195" t="s">
        <v>352</v>
      </c>
      <c r="F13" s="195" t="s">
        <v>601</v>
      </c>
      <c r="G13" s="195" t="s">
        <v>602</v>
      </c>
      <c r="H13" s="195">
        <v>122</v>
      </c>
      <c r="I13" s="196">
        <v>1553028285628</v>
      </c>
      <c r="J13" s="420">
        <v>1102</v>
      </c>
      <c r="K13" s="193"/>
    </row>
    <row r="14" spans="3:12">
      <c r="C14" s="192">
        <v>9</v>
      </c>
      <c r="D14" s="195" t="s">
        <v>606</v>
      </c>
      <c r="E14" s="195" t="s">
        <v>607</v>
      </c>
      <c r="F14" s="195" t="s">
        <v>337</v>
      </c>
      <c r="G14" s="195" t="s">
        <v>608</v>
      </c>
      <c r="H14" s="195">
        <v>122</v>
      </c>
      <c r="I14" s="196"/>
      <c r="J14" s="420">
        <v>1102</v>
      </c>
      <c r="K14" s="193"/>
    </row>
    <row r="15" spans="3:12">
      <c r="C15" s="556">
        <v>10</v>
      </c>
      <c r="D15" s="217" t="s">
        <v>718</v>
      </c>
      <c r="E15" s="217" t="s">
        <v>719</v>
      </c>
      <c r="F15" s="217" t="s">
        <v>720</v>
      </c>
      <c r="G15" s="217" t="s">
        <v>743</v>
      </c>
      <c r="H15" s="217">
        <v>122</v>
      </c>
      <c r="I15" s="557"/>
      <c r="J15" s="558">
        <v>1646</v>
      </c>
      <c r="K15" s="559"/>
      <c r="L15" t="s">
        <v>698</v>
      </c>
    </row>
    <row r="16" spans="3:12">
      <c r="C16" s="556">
        <v>11</v>
      </c>
      <c r="D16" s="217" t="s">
        <v>740</v>
      </c>
      <c r="E16" s="217" t="s">
        <v>741</v>
      </c>
      <c r="F16" s="217" t="s">
        <v>757</v>
      </c>
      <c r="G16" s="217" t="s">
        <v>742</v>
      </c>
      <c r="H16" s="217">
        <v>122</v>
      </c>
      <c r="I16" s="557"/>
      <c r="J16" s="558">
        <v>1500</v>
      </c>
      <c r="K16" s="559"/>
      <c r="L16" t="s">
        <v>746</v>
      </c>
    </row>
    <row r="17" spans="3:12" ht="25.5" customHeight="1" thickBot="1">
      <c r="C17" s="466">
        <v>12</v>
      </c>
      <c r="D17" s="467" t="s">
        <v>571</v>
      </c>
      <c r="E17" s="467" t="s">
        <v>567</v>
      </c>
      <c r="F17" s="467" t="s">
        <v>572</v>
      </c>
      <c r="G17" s="468" t="s">
        <v>603</v>
      </c>
      <c r="H17" s="469">
        <v>122</v>
      </c>
      <c r="I17" s="470" t="s">
        <v>330</v>
      </c>
      <c r="J17" s="485">
        <v>1576</v>
      </c>
      <c r="K17" s="471"/>
    </row>
    <row r="18" spans="3:12" ht="15.75" thickTop="1">
      <c r="C18" s="460"/>
      <c r="D18" s="461"/>
      <c r="E18" s="461"/>
      <c r="F18" s="461"/>
      <c r="G18" s="462"/>
      <c r="H18" s="228"/>
      <c r="I18" s="463"/>
      <c r="J18" s="464">
        <f>SUM(J6:J17)</f>
        <v>15184</v>
      </c>
      <c r="K18" s="465"/>
    </row>
    <row r="19" spans="3:12">
      <c r="C19" s="460"/>
      <c r="D19" s="228"/>
      <c r="E19" s="228"/>
      <c r="F19" s="461"/>
      <c r="G19" s="228"/>
      <c r="H19" s="228"/>
      <c r="I19" s="463"/>
      <c r="J19" s="465"/>
      <c r="K19" s="465"/>
    </row>
    <row r="20" spans="3:12">
      <c r="C20" s="418">
        <v>13</v>
      </c>
      <c r="D20" s="195" t="s">
        <v>328</v>
      </c>
      <c r="E20" s="195" t="s">
        <v>341</v>
      </c>
      <c r="F20" s="191" t="s">
        <v>579</v>
      </c>
      <c r="G20" s="195" t="s">
        <v>360</v>
      </c>
      <c r="H20" s="195">
        <v>443</v>
      </c>
      <c r="I20" s="196" t="s">
        <v>329</v>
      </c>
      <c r="J20" s="420">
        <v>1102</v>
      </c>
      <c r="K20" s="193"/>
    </row>
    <row r="21" spans="3:12">
      <c r="C21" s="192">
        <v>14</v>
      </c>
      <c r="D21" s="191" t="s">
        <v>358</v>
      </c>
      <c r="E21" s="191" t="s">
        <v>327</v>
      </c>
      <c r="F21" s="191" t="s">
        <v>357</v>
      </c>
      <c r="G21" s="195" t="s">
        <v>356</v>
      </c>
      <c r="H21" s="195">
        <v>443</v>
      </c>
      <c r="I21" s="196"/>
      <c r="J21" s="420">
        <v>1102</v>
      </c>
      <c r="K21" s="189"/>
    </row>
    <row r="22" spans="3:12">
      <c r="C22" s="192">
        <v>15</v>
      </c>
      <c r="D22" s="195"/>
      <c r="E22" s="195"/>
      <c r="F22" s="195"/>
      <c r="G22" s="195" t="s">
        <v>348</v>
      </c>
      <c r="H22" s="195">
        <v>443</v>
      </c>
      <c r="I22" s="194"/>
      <c r="J22" s="420"/>
      <c r="K22" s="193"/>
    </row>
    <row r="23" spans="3:12">
      <c r="C23" s="192">
        <v>16</v>
      </c>
      <c r="D23" s="195" t="s">
        <v>346</v>
      </c>
      <c r="E23" s="195" t="s">
        <v>345</v>
      </c>
      <c r="F23" s="191" t="s">
        <v>344</v>
      </c>
      <c r="G23" s="195" t="s">
        <v>343</v>
      </c>
      <c r="H23" s="195">
        <v>443</v>
      </c>
      <c r="I23" s="194"/>
      <c r="J23" s="420">
        <v>1102</v>
      </c>
      <c r="K23" s="193"/>
    </row>
    <row r="24" spans="3:12">
      <c r="C24" s="192">
        <v>17</v>
      </c>
      <c r="D24" s="195" t="s">
        <v>696</v>
      </c>
      <c r="E24" s="195" t="s">
        <v>316</v>
      </c>
      <c r="F24" s="191" t="s">
        <v>697</v>
      </c>
      <c r="G24" s="195" t="s">
        <v>340</v>
      </c>
      <c r="H24" s="195">
        <v>443</v>
      </c>
      <c r="I24" s="190"/>
      <c r="J24" s="420">
        <v>1102</v>
      </c>
      <c r="K24" s="189"/>
      <c r="L24" s="316" t="s">
        <v>698</v>
      </c>
    </row>
    <row r="25" spans="3:12">
      <c r="C25" s="418">
        <v>18</v>
      </c>
      <c r="D25" s="195" t="s">
        <v>334</v>
      </c>
      <c r="E25" s="195" t="s">
        <v>333</v>
      </c>
      <c r="F25" s="191" t="s">
        <v>332</v>
      </c>
      <c r="G25" s="195" t="s">
        <v>331</v>
      </c>
      <c r="H25" s="195">
        <v>443</v>
      </c>
      <c r="I25" s="194"/>
      <c r="J25" s="420">
        <v>1102</v>
      </c>
      <c r="K25" s="189"/>
    </row>
    <row r="26" spans="3:12">
      <c r="C26" s="418">
        <v>19</v>
      </c>
      <c r="D26" s="419" t="s">
        <v>328</v>
      </c>
      <c r="E26" s="419" t="s">
        <v>634</v>
      </c>
      <c r="F26" s="419" t="s">
        <v>647</v>
      </c>
      <c r="G26" s="195" t="s">
        <v>326</v>
      </c>
      <c r="H26" s="195">
        <v>443</v>
      </c>
      <c r="I26" s="194"/>
      <c r="J26" s="420">
        <v>1102</v>
      </c>
      <c r="K26" s="189"/>
    </row>
    <row r="27" spans="3:12" ht="15.75" thickBot="1">
      <c r="C27" s="477">
        <v>20</v>
      </c>
      <c r="D27" s="469" t="s">
        <v>325</v>
      </c>
      <c r="E27" s="469" t="s">
        <v>324</v>
      </c>
      <c r="F27" s="467" t="s">
        <v>323</v>
      </c>
      <c r="G27" s="469" t="s">
        <v>322</v>
      </c>
      <c r="H27" s="469">
        <v>443</v>
      </c>
      <c r="I27" s="478"/>
      <c r="J27" s="485">
        <v>1102</v>
      </c>
      <c r="K27" s="479"/>
      <c r="L27" s="339"/>
    </row>
    <row r="28" spans="3:12" ht="15.75" thickTop="1">
      <c r="C28" s="460"/>
      <c r="D28" s="228"/>
      <c r="E28" s="228"/>
      <c r="F28" s="461"/>
      <c r="G28" s="228"/>
      <c r="H28" s="228"/>
      <c r="I28" s="476"/>
      <c r="J28" s="480">
        <f>SUM(J20:J27)</f>
        <v>7714</v>
      </c>
      <c r="K28" s="474"/>
      <c r="L28" s="339"/>
    </row>
    <row r="29" spans="3:12">
      <c r="C29" s="460"/>
      <c r="D29" s="228"/>
      <c r="E29" s="228"/>
      <c r="F29" s="461"/>
      <c r="G29" s="228"/>
      <c r="H29" s="228"/>
      <c r="I29" s="476"/>
      <c r="J29" s="475"/>
      <c r="K29" s="474"/>
      <c r="L29" s="339"/>
    </row>
    <row r="30" spans="3:12">
      <c r="C30" s="532">
        <v>21</v>
      </c>
      <c r="D30" s="195" t="s">
        <v>317</v>
      </c>
      <c r="E30" s="195" t="s">
        <v>355</v>
      </c>
      <c r="F30" s="191" t="s">
        <v>354</v>
      </c>
      <c r="G30" s="195" t="s">
        <v>353</v>
      </c>
      <c r="H30" s="191">
        <v>445</v>
      </c>
      <c r="I30" s="190" t="s">
        <v>604</v>
      </c>
      <c r="J30" s="306">
        <v>1092</v>
      </c>
      <c r="K30" s="189"/>
    </row>
    <row r="31" spans="3:12">
      <c r="C31" s="472"/>
      <c r="D31" s="228"/>
      <c r="E31" s="228"/>
      <c r="F31" s="461"/>
      <c r="G31" s="228"/>
      <c r="H31" s="461"/>
      <c r="I31" s="473"/>
      <c r="J31" s="480">
        <f>SUM(J30)</f>
        <v>1092</v>
      </c>
      <c r="K31" s="474"/>
    </row>
    <row r="32" spans="3:12" ht="11.25" customHeight="1">
      <c r="C32" s="472"/>
      <c r="D32" s="228"/>
      <c r="E32" s="228"/>
      <c r="F32" s="461"/>
      <c r="G32" s="228"/>
      <c r="H32" s="461"/>
      <c r="I32" s="473"/>
      <c r="J32" s="481"/>
      <c r="K32" s="474"/>
    </row>
    <row r="33" spans="3:11" ht="15.75" thickBot="1">
      <c r="C33" s="264"/>
      <c r="D33" s="264"/>
      <c r="E33" s="264"/>
      <c r="F33" s="264"/>
      <c r="G33" s="264"/>
      <c r="H33" s="482"/>
      <c r="I33" s="482"/>
      <c r="J33" s="483">
        <f>J18+J28+J31</f>
        <v>23990</v>
      </c>
      <c r="K33" s="484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3"/>
  <sheetViews>
    <sheetView workbookViewId="0">
      <selection activeCell="E10" sqref="E10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06" t="s">
        <v>789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8"/>
    </row>
    <row r="2" spans="2:16" ht="15.75">
      <c r="B2" s="709" t="s">
        <v>422</v>
      </c>
      <c r="C2" s="709"/>
      <c r="D2" s="709"/>
      <c r="E2" s="202" t="s">
        <v>156</v>
      </c>
      <c r="F2" s="203"/>
      <c r="G2" s="203"/>
      <c r="H2" s="203"/>
      <c r="I2" s="203"/>
      <c r="J2" s="203"/>
      <c r="K2" s="204"/>
      <c r="L2" s="353"/>
      <c r="M2" s="203"/>
      <c r="N2" s="203"/>
    </row>
    <row r="3" spans="2:16" ht="15.75">
      <c r="B3" s="533" t="s">
        <v>157</v>
      </c>
      <c r="C3" s="205"/>
      <c r="D3" s="205"/>
      <c r="E3" s="205"/>
      <c r="F3" s="205"/>
      <c r="G3" s="206" t="s">
        <v>28</v>
      </c>
      <c r="H3" s="710" t="s">
        <v>60</v>
      </c>
      <c r="I3" s="711"/>
      <c r="J3" s="207"/>
      <c r="K3" s="208" t="s">
        <v>61</v>
      </c>
      <c r="L3" s="209"/>
      <c r="M3" s="344"/>
      <c r="N3" s="344"/>
    </row>
    <row r="4" spans="2:16" ht="15.75" customHeight="1">
      <c r="B4" s="534" t="s">
        <v>158</v>
      </c>
      <c r="C4" s="712" t="s">
        <v>52</v>
      </c>
      <c r="D4" s="713"/>
      <c r="E4" s="713"/>
      <c r="F4" s="210"/>
      <c r="G4" s="580"/>
      <c r="H4" s="543" t="s">
        <v>3</v>
      </c>
      <c r="I4" s="544" t="s">
        <v>159</v>
      </c>
      <c r="J4" s="545" t="s">
        <v>67</v>
      </c>
      <c r="K4" s="546" t="s">
        <v>423</v>
      </c>
      <c r="L4" s="547" t="s">
        <v>160</v>
      </c>
      <c r="M4" s="347" t="s">
        <v>655</v>
      </c>
      <c r="N4" s="345"/>
    </row>
    <row r="5" spans="2:16" ht="15.75">
      <c r="B5" s="535" t="s">
        <v>161</v>
      </c>
      <c r="C5" s="536" t="s">
        <v>53</v>
      </c>
      <c r="D5" s="537" t="s">
        <v>54</v>
      </c>
      <c r="E5" s="537" t="s">
        <v>55</v>
      </c>
      <c r="F5" s="537" t="s">
        <v>56</v>
      </c>
      <c r="G5" s="538" t="s">
        <v>57</v>
      </c>
      <c r="H5" s="539" t="s">
        <v>424</v>
      </c>
      <c r="I5" s="540" t="s">
        <v>165</v>
      </c>
      <c r="J5" s="541" t="s">
        <v>166</v>
      </c>
      <c r="K5" s="542" t="s">
        <v>424</v>
      </c>
      <c r="L5" s="537" t="s">
        <v>168</v>
      </c>
      <c r="M5" s="346" t="s">
        <v>654</v>
      </c>
      <c r="N5" s="346" t="s">
        <v>565</v>
      </c>
    </row>
    <row r="6" spans="2:16">
      <c r="B6" s="211" t="s">
        <v>425</v>
      </c>
      <c r="C6" s="211"/>
      <c r="D6" s="211"/>
      <c r="E6" s="211"/>
      <c r="F6" s="212"/>
      <c r="G6" s="212"/>
      <c r="H6" s="213"/>
      <c r="I6" s="213"/>
      <c r="J6" s="212"/>
      <c r="K6" s="213"/>
      <c r="L6" s="212"/>
      <c r="M6" s="212"/>
      <c r="N6" s="212"/>
    </row>
    <row r="7" spans="2:16" ht="36.75">
      <c r="B7" s="195">
        <v>1</v>
      </c>
      <c r="C7" s="191" t="s">
        <v>590</v>
      </c>
      <c r="D7" s="191" t="s">
        <v>666</v>
      </c>
      <c r="E7" s="191" t="s">
        <v>667</v>
      </c>
      <c r="F7" s="304" t="s">
        <v>754</v>
      </c>
      <c r="G7" s="195"/>
      <c r="H7" s="306">
        <v>5480.6</v>
      </c>
      <c r="I7" s="193">
        <f>H7</f>
        <v>5480.6</v>
      </c>
      <c r="J7" s="214"/>
      <c r="K7" s="193">
        <v>55.76</v>
      </c>
      <c r="L7" s="215">
        <f>I7+J7-K7</f>
        <v>5424.84</v>
      </c>
      <c r="M7" s="351"/>
      <c r="N7" s="215">
        <f t="shared" ref="N7:N14" si="0">SUM(L7-M7)</f>
        <v>5424.84</v>
      </c>
      <c r="O7" s="216"/>
    </row>
    <row r="8" spans="2:16">
      <c r="B8" s="195">
        <v>2</v>
      </c>
      <c r="C8" s="195" t="s">
        <v>428</v>
      </c>
      <c r="D8" s="195" t="s">
        <v>650</v>
      </c>
      <c r="E8" s="195" t="s">
        <v>651</v>
      </c>
      <c r="F8" s="195" t="s">
        <v>426</v>
      </c>
      <c r="G8" s="195" t="s">
        <v>427</v>
      </c>
      <c r="H8" s="306">
        <v>2435.5500000000002</v>
      </c>
      <c r="I8" s="306">
        <f>H8</f>
        <v>2435.5500000000002</v>
      </c>
      <c r="J8" s="214">
        <v>276.87</v>
      </c>
      <c r="K8" s="306"/>
      <c r="L8" s="215">
        <f t="shared" ref="L8:L14" si="1">I8+J8</f>
        <v>2712.42</v>
      </c>
      <c r="M8" s="343"/>
      <c r="N8" s="343">
        <f t="shared" si="0"/>
        <v>2712.42</v>
      </c>
      <c r="O8" s="216"/>
      <c r="P8" s="339"/>
    </row>
    <row r="9" spans="2:16">
      <c r="B9" s="195">
        <v>3</v>
      </c>
      <c r="C9" s="195" t="s">
        <v>428</v>
      </c>
      <c r="D9" s="195" t="s">
        <v>207</v>
      </c>
      <c r="E9" s="195" t="s">
        <v>429</v>
      </c>
      <c r="F9" s="195" t="s">
        <v>430</v>
      </c>
      <c r="G9" s="195" t="s">
        <v>431</v>
      </c>
      <c r="H9" s="306">
        <v>2435.5500000000002</v>
      </c>
      <c r="I9" s="306">
        <f t="shared" ref="I9" si="2">H9</f>
        <v>2435.5500000000002</v>
      </c>
      <c r="J9" s="214">
        <v>276.87</v>
      </c>
      <c r="K9" s="306"/>
      <c r="L9" s="215">
        <f t="shared" si="1"/>
        <v>2712.42</v>
      </c>
      <c r="M9" s="343"/>
      <c r="N9" s="342">
        <f t="shared" si="0"/>
        <v>2712.42</v>
      </c>
      <c r="O9" s="216"/>
    </row>
    <row r="10" spans="2:16" ht="36.75">
      <c r="B10" s="195">
        <v>4</v>
      </c>
      <c r="C10" s="195" t="s">
        <v>210</v>
      </c>
      <c r="D10" s="195" t="s">
        <v>432</v>
      </c>
      <c r="E10" s="195" t="s">
        <v>433</v>
      </c>
      <c r="F10" s="357" t="s">
        <v>434</v>
      </c>
      <c r="G10" s="195"/>
      <c r="H10" s="306">
        <v>5480.6</v>
      </c>
      <c r="I10" s="306">
        <f>H10</f>
        <v>5480.6</v>
      </c>
      <c r="J10" s="214"/>
      <c r="K10" s="306">
        <v>55.76</v>
      </c>
      <c r="L10" s="215">
        <f>I10+J10-K10</f>
        <v>5424.84</v>
      </c>
      <c r="M10" s="343"/>
      <c r="N10" s="342">
        <f t="shared" si="0"/>
        <v>5424.84</v>
      </c>
      <c r="O10" s="216"/>
    </row>
    <row r="11" spans="2:16">
      <c r="B11" s="195">
        <v>5</v>
      </c>
      <c r="C11" s="195" t="s">
        <v>435</v>
      </c>
      <c r="D11" s="195" t="s">
        <v>436</v>
      </c>
      <c r="E11" s="195" t="s">
        <v>437</v>
      </c>
      <c r="F11" s="195" t="s">
        <v>438</v>
      </c>
      <c r="G11" s="195"/>
      <c r="H11" s="306">
        <v>2435.5500000000002</v>
      </c>
      <c r="I11" s="306">
        <f>H11</f>
        <v>2435.5500000000002</v>
      </c>
      <c r="J11" s="214">
        <v>276.87</v>
      </c>
      <c r="K11" s="306"/>
      <c r="L11" s="215">
        <f t="shared" si="1"/>
        <v>2712.42</v>
      </c>
      <c r="M11" s="343"/>
      <c r="N11" s="342">
        <f t="shared" si="0"/>
        <v>2712.42</v>
      </c>
      <c r="O11" s="216"/>
    </row>
    <row r="12" spans="2:16">
      <c r="B12" s="217">
        <v>6</v>
      </c>
      <c r="C12" s="217" t="s">
        <v>91</v>
      </c>
      <c r="D12" s="195" t="s">
        <v>92</v>
      </c>
      <c r="E12" s="195" t="s">
        <v>439</v>
      </c>
      <c r="F12" s="195" t="s">
        <v>440</v>
      </c>
      <c r="G12" s="195" t="s">
        <v>441</v>
      </c>
      <c r="H12" s="306">
        <v>2435.5500000000002</v>
      </c>
      <c r="I12" s="306">
        <f>H12</f>
        <v>2435.5500000000002</v>
      </c>
      <c r="J12" s="214">
        <v>276.87</v>
      </c>
      <c r="K12" s="306"/>
      <c r="L12" s="215">
        <f t="shared" si="1"/>
        <v>2712.42</v>
      </c>
      <c r="M12" s="343"/>
      <c r="N12" s="342">
        <f t="shared" si="0"/>
        <v>2712.42</v>
      </c>
      <c r="O12" s="216"/>
    </row>
    <row r="13" spans="2:16" ht="24.75">
      <c r="B13" s="217">
        <v>7</v>
      </c>
      <c r="C13" s="195" t="s">
        <v>590</v>
      </c>
      <c r="D13" s="195" t="s">
        <v>666</v>
      </c>
      <c r="E13" s="195" t="s">
        <v>667</v>
      </c>
      <c r="F13" s="357" t="s">
        <v>442</v>
      </c>
      <c r="G13" s="195"/>
      <c r="H13" s="306">
        <v>2435.5500000000002</v>
      </c>
      <c r="I13" s="306">
        <f>H13</f>
        <v>2435.5500000000002</v>
      </c>
      <c r="J13" s="214">
        <v>276.87</v>
      </c>
      <c r="K13" s="306"/>
      <c r="L13" s="215">
        <f t="shared" si="1"/>
        <v>2712.42</v>
      </c>
      <c r="M13" s="343"/>
      <c r="N13" s="343">
        <f t="shared" si="0"/>
        <v>2712.42</v>
      </c>
      <c r="O13" s="216"/>
    </row>
    <row r="14" spans="2:16" ht="25.5" thickBot="1">
      <c r="B14" s="217">
        <v>8</v>
      </c>
      <c r="C14" s="195" t="s">
        <v>101</v>
      </c>
      <c r="D14" s="195" t="s">
        <v>707</v>
      </c>
      <c r="E14" s="195" t="s">
        <v>708</v>
      </c>
      <c r="F14" s="357" t="s">
        <v>442</v>
      </c>
      <c r="G14" s="195"/>
      <c r="H14" s="306">
        <v>2435.5500000000002</v>
      </c>
      <c r="I14" s="306">
        <f>H14</f>
        <v>2435.5500000000002</v>
      </c>
      <c r="J14" s="214">
        <v>276.87</v>
      </c>
      <c r="K14" s="306"/>
      <c r="L14" s="552">
        <f t="shared" si="1"/>
        <v>2712.42</v>
      </c>
      <c r="M14" s="352"/>
      <c r="N14" s="348">
        <f t="shared" si="0"/>
        <v>2712.42</v>
      </c>
      <c r="O14" s="317"/>
      <c r="P14" t="s">
        <v>706</v>
      </c>
    </row>
    <row r="15" spans="2:16" ht="15.75" thickBot="1">
      <c r="B15" s="218" t="s">
        <v>443</v>
      </c>
      <c r="C15" s="219"/>
      <c r="D15" s="220"/>
      <c r="E15" s="220"/>
      <c r="F15" s="220"/>
      <c r="G15" s="220"/>
      <c r="H15" s="221">
        <f>SUM(H7:H14)</f>
        <v>25574.5</v>
      </c>
      <c r="I15" s="221">
        <f>SUM(I7:I14)</f>
        <v>25574.5</v>
      </c>
      <c r="J15" s="302">
        <f>SUM(J7:J14)</f>
        <v>1661.2199999999998</v>
      </c>
      <c r="K15" s="341">
        <f>SUM(K7:K13)</f>
        <v>111.52</v>
      </c>
      <c r="L15" s="349">
        <f>SUM(L7:L14)</f>
        <v>27124.199999999997</v>
      </c>
      <c r="M15" s="349">
        <f>SUM(M7:M14)</f>
        <v>0</v>
      </c>
      <c r="N15" s="350">
        <f>SUM(N7:N14)</f>
        <v>27124.199999999997</v>
      </c>
    </row>
    <row r="16" spans="2:16">
      <c r="B16" s="222"/>
      <c r="C16" s="223"/>
      <c r="D16" s="220"/>
      <c r="E16" s="220"/>
      <c r="F16" s="220"/>
      <c r="G16" s="220"/>
      <c r="H16" s="224"/>
      <c r="I16" s="224"/>
      <c r="J16" s="220"/>
      <c r="K16" s="225"/>
      <c r="L16" s="224"/>
      <c r="M16" s="224"/>
      <c r="N16" s="224"/>
    </row>
    <row r="17" spans="2:14">
      <c r="B17" s="222"/>
      <c r="C17" s="223"/>
      <c r="D17" s="220"/>
      <c r="E17" s="220"/>
      <c r="F17" s="220"/>
      <c r="G17" s="220"/>
      <c r="H17" s="224"/>
      <c r="I17" s="224"/>
      <c r="J17" s="220"/>
      <c r="K17" s="225"/>
      <c r="L17" s="224"/>
      <c r="M17" s="224"/>
      <c r="N17" s="224"/>
    </row>
    <row r="18" spans="2:14">
      <c r="C18" s="226"/>
      <c r="D18" s="226"/>
      <c r="F18" s="714"/>
      <c r="G18" s="714"/>
      <c r="I18" s="714"/>
      <c r="J18" s="714"/>
      <c r="K18" s="714"/>
    </row>
    <row r="19" spans="2:14">
      <c r="C19" s="227" t="s">
        <v>444</v>
      </c>
      <c r="D19" s="227"/>
      <c r="E19" s="227"/>
      <c r="F19" s="227" t="s">
        <v>629</v>
      </c>
      <c r="G19" s="227"/>
      <c r="H19" s="227"/>
      <c r="I19" s="227" t="s">
        <v>755</v>
      </c>
      <c r="J19" s="228"/>
      <c r="K19" s="229"/>
    </row>
    <row r="20" spans="2:14">
      <c r="C20" s="227" t="s">
        <v>445</v>
      </c>
      <c r="D20" s="227"/>
      <c r="E20" s="227"/>
      <c r="F20" s="227" t="s">
        <v>446</v>
      </c>
      <c r="G20" s="227"/>
      <c r="H20" s="227"/>
      <c r="I20" s="227" t="s">
        <v>447</v>
      </c>
      <c r="J20" s="228"/>
      <c r="K20" s="228"/>
      <c r="L20" s="239"/>
      <c r="M20" s="239"/>
      <c r="N20" s="239"/>
    </row>
    <row r="21" spans="2:14">
      <c r="C21" s="227"/>
      <c r="D21" s="227"/>
      <c r="E21" s="227"/>
      <c r="F21" s="227"/>
      <c r="G21" s="227"/>
      <c r="H21" s="227"/>
      <c r="I21" s="227"/>
      <c r="J21" s="228"/>
      <c r="K21" s="228"/>
      <c r="L21" s="239"/>
      <c r="M21" s="239"/>
      <c r="N21" s="239"/>
    </row>
    <row r="22" spans="2:14">
      <c r="L22" s="239">
        <f>I15+J15-K15</f>
        <v>27124.2</v>
      </c>
      <c r="M22" s="239"/>
      <c r="N22" s="239">
        <f>L15-M15</f>
        <v>27124.199999999997</v>
      </c>
    </row>
    <row r="23" spans="2:14">
      <c r="L23" s="239">
        <f>L15-L22</f>
        <v>0</v>
      </c>
      <c r="M23" s="239"/>
      <c r="N23" s="239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53" customWidth="1"/>
    <col min="15" max="15" width="11.42578125" customWidth="1"/>
  </cols>
  <sheetData>
    <row r="1" spans="1:12" ht="12.75" customHeight="1"/>
    <row r="2" spans="1:12" ht="12.75" customHeight="1">
      <c r="C2" s="695" t="s">
        <v>489</v>
      </c>
      <c r="D2" s="695"/>
      <c r="E2" s="695"/>
      <c r="G2" s="231" t="s">
        <v>490</v>
      </c>
    </row>
    <row r="3" spans="1:12" ht="15" customHeight="1">
      <c r="A3" s="231" t="s">
        <v>778</v>
      </c>
      <c r="B3" s="231"/>
      <c r="C3" s="231"/>
      <c r="D3" s="231"/>
      <c r="E3" s="231"/>
    </row>
    <row r="4" spans="1:12" ht="12.75" customHeight="1">
      <c r="A4" s="231">
        <v>2020</v>
      </c>
      <c r="B4" s="231"/>
      <c r="C4" s="695" t="s">
        <v>488</v>
      </c>
      <c r="D4" s="695"/>
      <c r="E4" s="695"/>
      <c r="G4" s="337">
        <v>0.52222222222222225</v>
      </c>
    </row>
    <row r="5" spans="1:12" ht="12.75" customHeight="1">
      <c r="A5" s="231"/>
      <c r="B5" s="231"/>
      <c r="C5" s="231"/>
      <c r="D5" s="231"/>
      <c r="E5" s="231"/>
    </row>
    <row r="6" spans="1:12" ht="12.75" customHeight="1"/>
    <row r="7" spans="1:12" ht="15.75" thickBot="1">
      <c r="A7" s="252" t="s">
        <v>487</v>
      </c>
      <c r="B7" s="252" t="s">
        <v>778</v>
      </c>
      <c r="C7" s="252" t="s">
        <v>779</v>
      </c>
      <c r="D7" s="231"/>
      <c r="E7" s="251" t="s">
        <v>484</v>
      </c>
      <c r="F7" s="251" t="s">
        <v>485</v>
      </c>
      <c r="G7" s="251" t="s">
        <v>486</v>
      </c>
      <c r="H7" s="259" t="s">
        <v>470</v>
      </c>
      <c r="J7" s="259" t="s">
        <v>576</v>
      </c>
    </row>
    <row r="8" spans="1:12">
      <c r="A8" s="243" t="s">
        <v>465</v>
      </c>
      <c r="B8" s="573">
        <f>C8*2</f>
        <v>237880</v>
      </c>
      <c r="C8" s="276">
        <f>REGIDORES!G18</f>
        <v>118940</v>
      </c>
      <c r="D8" s="237"/>
      <c r="E8" s="246">
        <f t="shared" ref="E8:E13" si="0">C8</f>
        <v>118940</v>
      </c>
      <c r="F8" s="247"/>
      <c r="G8" s="247"/>
    </row>
    <row r="9" spans="1:12">
      <c r="A9" s="243" t="s">
        <v>466</v>
      </c>
      <c r="B9" s="573">
        <f t="shared" ref="B9:B13" si="1">C9*2</f>
        <v>592025.59999999998</v>
      </c>
      <c r="C9" s="276">
        <f>BASE!H199</f>
        <v>296012.79999999999</v>
      </c>
      <c r="D9" s="237"/>
      <c r="E9" s="239">
        <f t="shared" si="0"/>
        <v>296012.79999999999</v>
      </c>
    </row>
    <row r="10" spans="1:12">
      <c r="A10" s="243" t="s">
        <v>467</v>
      </c>
      <c r="B10" s="573">
        <f t="shared" si="1"/>
        <v>0</v>
      </c>
      <c r="C10" s="276"/>
      <c r="D10" s="237"/>
      <c r="E10" s="239">
        <f t="shared" si="0"/>
        <v>0</v>
      </c>
    </row>
    <row r="11" spans="1:12">
      <c r="A11" s="243" t="s">
        <v>468</v>
      </c>
      <c r="B11" s="573">
        <f t="shared" si="1"/>
        <v>0</v>
      </c>
      <c r="C11" s="276"/>
      <c r="D11" s="237"/>
      <c r="E11" s="239">
        <f t="shared" si="0"/>
        <v>0</v>
      </c>
    </row>
    <row r="12" spans="1:12">
      <c r="A12" s="243" t="s">
        <v>469</v>
      </c>
      <c r="B12" s="573">
        <f t="shared" si="1"/>
        <v>160976.28</v>
      </c>
      <c r="C12" s="276">
        <f>'NOMINA TRAB.EVENTUALES'!M35</f>
        <v>80488.14</v>
      </c>
      <c r="D12" s="237"/>
      <c r="E12" s="239">
        <f t="shared" si="0"/>
        <v>80488.14</v>
      </c>
    </row>
    <row r="13" spans="1:12">
      <c r="A13" s="243" t="s">
        <v>470</v>
      </c>
      <c r="B13" s="573">
        <f t="shared" si="1"/>
        <v>338473.45999999996</v>
      </c>
      <c r="C13" s="276">
        <f>'NOMINA ORD. DE PAGO QUINCENAL'!I68</f>
        <v>169236.72999999998</v>
      </c>
      <c r="D13" s="244"/>
      <c r="E13" s="240">
        <f t="shared" si="0"/>
        <v>169236.72999999998</v>
      </c>
      <c r="J13" s="253"/>
    </row>
    <row r="14" spans="1:12">
      <c r="A14" s="243" t="s">
        <v>471</v>
      </c>
      <c r="B14" s="573">
        <f>C14</f>
        <v>23990</v>
      </c>
      <c r="C14" s="276">
        <f>'PAGO TRAB.MENSUALES'!J33</f>
        <v>23990</v>
      </c>
      <c r="D14" s="237"/>
      <c r="F14" s="239">
        <f>C14</f>
        <v>23990</v>
      </c>
    </row>
    <row r="15" spans="1:12">
      <c r="A15" s="243" t="s">
        <v>472</v>
      </c>
      <c r="B15" s="573">
        <f>C15</f>
        <v>20060.400000000001</v>
      </c>
      <c r="C15" s="184">
        <v>20060.400000000001</v>
      </c>
      <c r="D15" s="237"/>
      <c r="E15" s="253"/>
      <c r="F15" s="239"/>
      <c r="G15" s="239">
        <f>'PAGO SEMANAL'!C12</f>
        <v>5015.1000000000004</v>
      </c>
      <c r="H15" s="253"/>
    </row>
    <row r="16" spans="1:12">
      <c r="A16" s="243" t="s">
        <v>371</v>
      </c>
      <c r="B16" s="573">
        <f>C16*2</f>
        <v>52897.279999999999</v>
      </c>
      <c r="C16" s="276">
        <f>'NOMINA PENSIONADOS'!K15</f>
        <v>26448.639999999999</v>
      </c>
      <c r="D16" s="237"/>
      <c r="E16" s="239"/>
      <c r="L16" s="253">
        <v>20060.400000000001</v>
      </c>
    </row>
    <row r="17" spans="1:12" ht="15.75" thickBot="1">
      <c r="A17" s="243" t="s">
        <v>473</v>
      </c>
      <c r="B17" s="573" t="e">
        <f>C17</f>
        <v>#REF!</v>
      </c>
      <c r="C17" s="184" t="e">
        <f>#REF!</f>
        <v>#REF!</v>
      </c>
      <c r="D17" s="237"/>
      <c r="E17" s="248"/>
      <c r="F17" s="249" t="e">
        <f>C17</f>
        <v>#REF!</v>
      </c>
      <c r="G17" s="248"/>
      <c r="H17" s="360" t="e">
        <f>#REF!</f>
        <v>#REF!</v>
      </c>
      <c r="L17" s="253">
        <v>214092</v>
      </c>
    </row>
    <row r="18" spans="1:12" ht="15.75" thickTop="1">
      <c r="A18" s="243"/>
      <c r="B18" s="574" t="e">
        <f>SUM(B8:B17)</f>
        <v>#REF!</v>
      </c>
      <c r="C18" s="241" t="e">
        <f>SUM(C8:C17)</f>
        <v>#REF!</v>
      </c>
      <c r="D18" s="245"/>
      <c r="E18" s="242">
        <f>SUM(E8:E17)</f>
        <v>664677.66999999993</v>
      </c>
      <c r="F18" s="242" t="e">
        <f>SUM(F8:F17)</f>
        <v>#REF!</v>
      </c>
      <c r="G18" s="242">
        <f>SUM(G8:G17)</f>
        <v>5015.1000000000004</v>
      </c>
      <c r="H18" s="361" t="e">
        <f>SUM(H8:H17)</f>
        <v>#REF!</v>
      </c>
      <c r="I18" s="239"/>
      <c r="L18" s="253">
        <v>595306</v>
      </c>
    </row>
    <row r="19" spans="1:12" ht="15.75" thickBot="1">
      <c r="C19" s="185"/>
      <c r="D19" s="185"/>
      <c r="L19" s="253">
        <v>160976.28</v>
      </c>
    </row>
    <row r="20" spans="1:12" ht="15.75" thickBot="1">
      <c r="F20" s="250" t="e">
        <f>E18+F18+G18</f>
        <v>#REF!</v>
      </c>
      <c r="L20" s="253">
        <v>52897.279999999999</v>
      </c>
    </row>
    <row r="21" spans="1:12">
      <c r="F21" s="239"/>
      <c r="L21" s="253">
        <v>364731.92</v>
      </c>
    </row>
    <row r="22" spans="1:12">
      <c r="C22" t="s">
        <v>574</v>
      </c>
      <c r="E22" s="239" t="e">
        <f>E8+E9+E12+E13+F14+G15+H15+E16+F17</f>
        <v>#REF!</v>
      </c>
      <c r="L22" s="253">
        <v>23990</v>
      </c>
    </row>
    <row r="23" spans="1:12">
      <c r="C23" s="226" t="s">
        <v>575</v>
      </c>
      <c r="D23" s="305"/>
      <c r="E23" s="305">
        <f>E10+E11</f>
        <v>0</v>
      </c>
      <c r="L23" s="253">
        <v>25762.080000000002</v>
      </c>
    </row>
    <row r="24" spans="1:12">
      <c r="D24" s="239"/>
      <c r="E24" s="359" t="e">
        <f>SUM(E22:E23)</f>
        <v>#REF!</v>
      </c>
      <c r="L24" s="253">
        <f>SUM(L16:L23)</f>
        <v>1457815.9600000002</v>
      </c>
    </row>
    <row r="25" spans="1:12">
      <c r="D25" s="239"/>
      <c r="E25" s="239"/>
    </row>
    <row r="26" spans="1:12">
      <c r="E26" s="239"/>
    </row>
    <row r="27" spans="1:12">
      <c r="E27" s="239"/>
    </row>
    <row r="28" spans="1:12">
      <c r="C28" s="226"/>
      <c r="D28" s="226"/>
      <c r="E28" s="305"/>
    </row>
    <row r="29" spans="1:12">
      <c r="E29" s="239"/>
    </row>
    <row r="31" spans="1:12">
      <c r="A31" s="232"/>
      <c r="E31" s="273"/>
      <c r="F31" s="239"/>
    </row>
    <row r="32" spans="1:12">
      <c r="A32" s="231"/>
      <c r="B32" s="231"/>
      <c r="C32" s="231"/>
      <c r="D32" s="231"/>
      <c r="E32" s="23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3"/>
  <sheetViews>
    <sheetView topLeftCell="A123" zoomScaleNormal="100" workbookViewId="0">
      <selection activeCell="F135" sqref="F135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4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35" t="s">
        <v>28</v>
      </c>
      <c r="D1" s="635"/>
      <c r="E1" s="635"/>
      <c r="F1" s="636"/>
      <c r="G1" s="636"/>
      <c r="H1" s="636"/>
      <c r="I1" s="636"/>
      <c r="J1" s="168"/>
    </row>
    <row r="2" spans="2:18" ht="19.5">
      <c r="B2" s="641" t="s">
        <v>218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P2" s="296">
        <f t="shared" ref="P2:P63" si="0">M2-O2</f>
        <v>0</v>
      </c>
    </row>
    <row r="3" spans="2:18" ht="15">
      <c r="B3" s="642" t="s">
        <v>791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P3" s="296">
        <f t="shared" si="0"/>
        <v>0</v>
      </c>
    </row>
    <row r="4" spans="2:18" ht="12.75">
      <c r="B4" s="20"/>
      <c r="C4" s="22" t="s">
        <v>0</v>
      </c>
      <c r="D4" s="22"/>
      <c r="E4" s="362"/>
      <c r="F4" s="3"/>
      <c r="G4" s="3"/>
      <c r="H4" s="3"/>
      <c r="I4" s="3"/>
      <c r="J4" s="3"/>
      <c r="K4" s="3"/>
      <c r="L4" s="3"/>
      <c r="M4" s="3"/>
      <c r="N4" s="3"/>
      <c r="P4" s="296">
        <f t="shared" si="0"/>
        <v>0</v>
      </c>
    </row>
    <row r="5" spans="2:18" ht="27" customHeight="1">
      <c r="B5" s="449" t="s">
        <v>1</v>
      </c>
      <c r="C5" s="450" t="s">
        <v>2</v>
      </c>
      <c r="D5" s="450" t="s">
        <v>233</v>
      </c>
      <c r="E5" s="451"/>
      <c r="F5" s="450" t="s">
        <v>3</v>
      </c>
      <c r="G5" s="452" t="s">
        <v>4</v>
      </c>
      <c r="H5" s="452" t="s">
        <v>5</v>
      </c>
      <c r="I5" s="450" t="s">
        <v>699</v>
      </c>
      <c r="J5" s="450" t="s">
        <v>617</v>
      </c>
      <c r="K5" s="450" t="s">
        <v>47</v>
      </c>
      <c r="L5" s="452" t="s">
        <v>6</v>
      </c>
      <c r="M5" s="453" t="s">
        <v>7</v>
      </c>
      <c r="N5" s="453" t="s">
        <v>29</v>
      </c>
      <c r="P5" s="296"/>
    </row>
    <row r="6" spans="2:18" ht="18" customHeight="1">
      <c r="B6" s="23" t="s">
        <v>10</v>
      </c>
      <c r="C6" s="3"/>
      <c r="D6" s="3"/>
      <c r="E6" s="363"/>
      <c r="F6" s="3"/>
      <c r="G6" s="3"/>
      <c r="H6" s="3"/>
      <c r="I6" s="3"/>
      <c r="J6" s="3"/>
      <c r="K6" s="3"/>
      <c r="L6" s="3"/>
      <c r="M6" s="3"/>
      <c r="N6" s="3"/>
      <c r="P6" s="296"/>
    </row>
    <row r="7" spans="2:18" ht="30" customHeight="1">
      <c r="B7" s="20" t="s">
        <v>275</v>
      </c>
      <c r="C7" s="3" t="s">
        <v>645</v>
      </c>
      <c r="D7" s="8" t="s">
        <v>236</v>
      </c>
      <c r="E7" s="364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6"/>
      <c r="R7" s="19">
        <v>26270.560000000001</v>
      </c>
    </row>
    <row r="8" spans="2:18" ht="30" customHeight="1">
      <c r="B8" s="20" t="s">
        <v>276</v>
      </c>
      <c r="C8" s="3" t="s">
        <v>584</v>
      </c>
      <c r="D8" s="8" t="s">
        <v>237</v>
      </c>
      <c r="E8" s="364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6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5"/>
      <c r="F9" s="279">
        <f>SUM(F7:F8)</f>
        <v>30353</v>
      </c>
      <c r="G9" s="279">
        <f t="shared" ref="G9:L9" si="2">SUM(G7:G8)</f>
        <v>0</v>
      </c>
      <c r="H9" s="279">
        <f t="shared" si="2"/>
        <v>30353</v>
      </c>
      <c r="I9" s="279">
        <f t="shared" si="2"/>
        <v>0</v>
      </c>
      <c r="J9" s="279">
        <f>SUM(J7:J8)</f>
        <v>0</v>
      </c>
      <c r="K9" s="279">
        <f t="shared" si="2"/>
        <v>5938.32</v>
      </c>
      <c r="L9" s="279">
        <f t="shared" si="2"/>
        <v>5938.32</v>
      </c>
      <c r="M9" s="279">
        <f>SUM(M7:M8)</f>
        <v>24414.68</v>
      </c>
      <c r="N9" s="25"/>
      <c r="O9" s="293">
        <f>H9+I9-L9</f>
        <v>24414.68</v>
      </c>
      <c r="P9" s="296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3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6"/>
      <c r="R10" s="19">
        <v>16890.93</v>
      </c>
    </row>
    <row r="11" spans="2:18" ht="18" customHeight="1">
      <c r="B11" s="23" t="s">
        <v>11</v>
      </c>
      <c r="C11" s="3"/>
      <c r="D11" s="3"/>
      <c r="E11" s="363"/>
      <c r="F11" s="3"/>
      <c r="G11" s="3"/>
      <c r="H11" s="3"/>
      <c r="I11" s="3"/>
      <c r="J11" s="3"/>
      <c r="K11" s="3"/>
      <c r="L11" s="3"/>
      <c r="M11" s="3"/>
      <c r="N11" s="3"/>
      <c r="P11" s="296"/>
      <c r="R11" s="19">
        <v>7669.53</v>
      </c>
    </row>
    <row r="12" spans="2:18" ht="30" customHeight="1">
      <c r="B12" s="20" t="s">
        <v>277</v>
      </c>
      <c r="C12" s="3" t="s">
        <v>32</v>
      </c>
      <c r="D12" s="8" t="s">
        <v>592</v>
      </c>
      <c r="E12" s="364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6"/>
      <c r="R12" s="19">
        <v>7335.92</v>
      </c>
    </row>
    <row r="13" spans="2:18" ht="30" customHeight="1">
      <c r="B13" s="20" t="s">
        <v>278</v>
      </c>
      <c r="C13" s="277" t="s">
        <v>580</v>
      </c>
      <c r="D13" s="8" t="s">
        <v>238</v>
      </c>
      <c r="E13" s="364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6"/>
    </row>
    <row r="14" spans="2:18" s="26" customFormat="1" ht="18" customHeight="1">
      <c r="B14" s="24" t="s">
        <v>9</v>
      </c>
      <c r="C14" s="25"/>
      <c r="D14" s="25"/>
      <c r="E14" s="365"/>
      <c r="F14" s="279">
        <f>SUM(F12:F13)</f>
        <v>10105</v>
      </c>
      <c r="G14" s="279">
        <f t="shared" ref="G14" si="3">SUM(G12:G13)</f>
        <v>0</v>
      </c>
      <c r="H14" s="279">
        <f t="shared" ref="H14:M14" si="4">SUM(H12:H13)</f>
        <v>10105</v>
      </c>
      <c r="I14" s="279">
        <f t="shared" si="4"/>
        <v>43.13</v>
      </c>
      <c r="J14" s="279">
        <f t="shared" si="4"/>
        <v>0</v>
      </c>
      <c r="K14" s="279">
        <f t="shared" si="4"/>
        <v>1021.27</v>
      </c>
      <c r="L14" s="279">
        <f t="shared" si="4"/>
        <v>1021.27</v>
      </c>
      <c r="M14" s="279">
        <f t="shared" si="4"/>
        <v>9126.86</v>
      </c>
      <c r="N14" s="25"/>
      <c r="O14" s="293">
        <f>H14+I14-L14</f>
        <v>9126.8599999999988</v>
      </c>
      <c r="P14" s="296">
        <f t="shared" si="0"/>
        <v>0</v>
      </c>
    </row>
    <row r="15" spans="2:18" ht="18" customHeight="1">
      <c r="B15" s="20"/>
      <c r="C15" s="3"/>
      <c r="D15" s="3"/>
      <c r="E15" s="363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2"/>
      <c r="P15" s="296"/>
    </row>
    <row r="16" spans="2:18" ht="18" customHeight="1">
      <c r="B16" s="23" t="s">
        <v>12</v>
      </c>
      <c r="C16" s="3"/>
      <c r="D16" s="3"/>
      <c r="E16" s="363"/>
      <c r="F16" s="3"/>
      <c r="G16" s="3"/>
      <c r="H16" s="3"/>
      <c r="I16" s="3"/>
      <c r="J16" s="3"/>
      <c r="K16" s="3"/>
      <c r="L16" s="3"/>
      <c r="M16" s="3"/>
      <c r="N16" s="3"/>
      <c r="P16" s="296"/>
    </row>
    <row r="17" spans="2:16" ht="30" customHeight="1">
      <c r="B17" s="20" t="s">
        <v>279</v>
      </c>
      <c r="C17" s="3" t="s">
        <v>46</v>
      </c>
      <c r="D17" s="8" t="s">
        <v>239</v>
      </c>
      <c r="E17" s="364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6"/>
    </row>
    <row r="18" spans="2:16" s="26" customFormat="1" ht="18" customHeight="1">
      <c r="B18" s="24" t="s">
        <v>9</v>
      </c>
      <c r="C18" s="25"/>
      <c r="D18" s="25"/>
      <c r="E18" s="365"/>
      <c r="F18" s="279">
        <f>SUM(F17)</f>
        <v>5471</v>
      </c>
      <c r="G18" s="279">
        <f t="shared" ref="G18:L18" si="5">SUM(G17)</f>
        <v>0</v>
      </c>
      <c r="H18" s="279">
        <f>SUM(H17)</f>
        <v>5471</v>
      </c>
      <c r="I18" s="279">
        <f t="shared" si="5"/>
        <v>0</v>
      </c>
      <c r="J18" s="279">
        <f>SUM(J17)</f>
        <v>0</v>
      </c>
      <c r="K18" s="279">
        <f>SUM(K17)</f>
        <v>540.25</v>
      </c>
      <c r="L18" s="279">
        <f t="shared" si="5"/>
        <v>540.25</v>
      </c>
      <c r="M18" s="279">
        <f>SUM(M17)</f>
        <v>4930.75</v>
      </c>
      <c r="N18" s="25"/>
      <c r="O18" s="293">
        <f>H18+I18-L18</f>
        <v>4930.75</v>
      </c>
      <c r="P18" s="296">
        <f t="shared" si="0"/>
        <v>0</v>
      </c>
    </row>
    <row r="19" spans="2:16" ht="18" customHeight="1">
      <c r="B19" s="20"/>
      <c r="C19" s="548"/>
      <c r="D19" s="3"/>
      <c r="E19" s="363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6"/>
    </row>
    <row r="20" spans="2:16" ht="18" customHeight="1">
      <c r="B20" s="20"/>
      <c r="C20" s="3"/>
      <c r="D20" s="3"/>
      <c r="E20" s="363"/>
      <c r="F20" s="3"/>
      <c r="G20" s="3"/>
      <c r="H20" s="3"/>
      <c r="I20" s="3"/>
      <c r="J20" s="323"/>
      <c r="K20" s="3"/>
      <c r="L20" s="3"/>
      <c r="M20" s="3"/>
      <c r="N20" s="3"/>
      <c r="P20" s="296"/>
    </row>
    <row r="21" spans="2:16" ht="18" customHeight="1">
      <c r="B21" s="23" t="s">
        <v>13</v>
      </c>
      <c r="C21" s="3"/>
      <c r="D21" s="3"/>
      <c r="E21" s="363"/>
      <c r="F21" s="3"/>
      <c r="G21" s="3"/>
      <c r="H21" s="3"/>
      <c r="I21" s="3"/>
      <c r="J21" s="3"/>
      <c r="K21" s="3"/>
      <c r="L21" s="3"/>
      <c r="M21" s="3"/>
      <c r="N21" s="3"/>
      <c r="P21" s="296"/>
    </row>
    <row r="22" spans="2:16" ht="30" customHeight="1">
      <c r="B22" s="20" t="s">
        <v>280</v>
      </c>
      <c r="C22" s="3"/>
      <c r="D22" s="8" t="s">
        <v>236</v>
      </c>
      <c r="E22" s="364"/>
      <c r="F22" s="9"/>
      <c r="G22" s="9">
        <v>0</v>
      </c>
      <c r="H22" s="9"/>
      <c r="I22" s="13"/>
      <c r="J22" s="355"/>
      <c r="K22" s="9"/>
      <c r="L22" s="9">
        <f>K22</f>
        <v>0</v>
      </c>
      <c r="M22" s="9">
        <f>H22+I22-L22-J22</f>
        <v>0</v>
      </c>
      <c r="N22" s="3"/>
      <c r="P22" s="296"/>
    </row>
    <row r="23" spans="2:16" ht="30" customHeight="1">
      <c r="B23" s="20" t="s">
        <v>281</v>
      </c>
      <c r="C23" s="3" t="s">
        <v>461</v>
      </c>
      <c r="D23" s="8" t="s">
        <v>240</v>
      </c>
      <c r="E23" s="364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6"/>
    </row>
    <row r="24" spans="2:16" s="26" customFormat="1" ht="18" customHeight="1">
      <c r="B24" s="24" t="s">
        <v>9</v>
      </c>
      <c r="C24" s="25"/>
      <c r="D24" s="25"/>
      <c r="E24" s="365"/>
      <c r="F24" s="279">
        <f>SUM(F22:F23)</f>
        <v>7809</v>
      </c>
      <c r="G24" s="279">
        <f t="shared" ref="G24:M24" si="7">SUM(G22:G23)</f>
        <v>0</v>
      </c>
      <c r="H24" s="279">
        <f t="shared" si="7"/>
        <v>7809</v>
      </c>
      <c r="I24" s="279">
        <f t="shared" si="7"/>
        <v>0</v>
      </c>
      <c r="J24" s="279">
        <f t="shared" si="7"/>
        <v>0</v>
      </c>
      <c r="K24" s="279">
        <f t="shared" si="7"/>
        <v>1021.27</v>
      </c>
      <c r="L24" s="279">
        <f t="shared" si="7"/>
        <v>1021.27</v>
      </c>
      <c r="M24" s="279">
        <f t="shared" si="7"/>
        <v>6787.73</v>
      </c>
      <c r="N24" s="25"/>
      <c r="O24" s="293">
        <f>H24+I24-L24-J24</f>
        <v>6787.73</v>
      </c>
      <c r="P24" s="296">
        <f t="shared" si="0"/>
        <v>0</v>
      </c>
    </row>
    <row r="25" spans="2:16" ht="18" customHeight="1">
      <c r="B25" s="20"/>
      <c r="C25" s="3"/>
      <c r="D25" s="3"/>
      <c r="E25" s="363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6"/>
    </row>
    <row r="26" spans="2:16" ht="18" customHeight="1">
      <c r="B26" s="28"/>
      <c r="C26" s="625"/>
      <c r="D26" s="625"/>
      <c r="E26" s="625"/>
      <c r="F26" s="626"/>
      <c r="G26" s="626"/>
      <c r="H26" s="626"/>
      <c r="I26" s="626"/>
      <c r="J26" s="318"/>
      <c r="K26" s="29"/>
      <c r="L26" s="29"/>
      <c r="M26" s="29"/>
      <c r="N26" s="29"/>
      <c r="P26" s="296"/>
    </row>
    <row r="27" spans="2:16" ht="18" customHeight="1">
      <c r="B27" s="627" t="s">
        <v>218</v>
      </c>
      <c r="C27" s="628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9"/>
      <c r="P27" s="296"/>
    </row>
    <row r="28" spans="2:16" ht="18" customHeight="1">
      <c r="B28" s="630" t="s">
        <v>792</v>
      </c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2"/>
      <c r="P28" s="296"/>
    </row>
    <row r="29" spans="2:16" ht="18" customHeight="1">
      <c r="B29" s="30"/>
      <c r="C29" s="31" t="s">
        <v>0</v>
      </c>
      <c r="D29" s="31"/>
      <c r="E29" s="366"/>
      <c r="N29" s="32"/>
      <c r="P29" s="296"/>
    </row>
    <row r="30" spans="2:16" ht="18" customHeight="1">
      <c r="B30" s="37" t="s">
        <v>598</v>
      </c>
      <c r="C30" s="31"/>
      <c r="D30" s="31"/>
      <c r="E30" s="366"/>
      <c r="N30" s="32"/>
      <c r="P30" s="296"/>
    </row>
    <row r="31" spans="2:16" ht="34.5" thickBot="1">
      <c r="B31" s="454" t="s">
        <v>1</v>
      </c>
      <c r="C31" s="455" t="s">
        <v>2</v>
      </c>
      <c r="D31" s="455"/>
      <c r="E31" s="456"/>
      <c r="F31" s="455" t="s">
        <v>3</v>
      </c>
      <c r="G31" s="457" t="s">
        <v>4</v>
      </c>
      <c r="H31" s="457" t="s">
        <v>5</v>
      </c>
      <c r="I31" s="455" t="s">
        <v>48</v>
      </c>
      <c r="J31" s="455" t="s">
        <v>618</v>
      </c>
      <c r="K31" s="455" t="s">
        <v>47</v>
      </c>
      <c r="L31" s="457" t="s">
        <v>6</v>
      </c>
      <c r="M31" s="458" t="s">
        <v>7</v>
      </c>
      <c r="N31" s="459" t="s">
        <v>29</v>
      </c>
      <c r="P31" s="296"/>
    </row>
    <row r="32" spans="2:16" ht="30" customHeight="1" thickTop="1">
      <c r="B32" s="20" t="s">
        <v>282</v>
      </c>
      <c r="C32" s="298" t="s">
        <v>477</v>
      </c>
      <c r="D32" s="8" t="s">
        <v>236</v>
      </c>
      <c r="E32" s="364">
        <f>7370/2</f>
        <v>3685</v>
      </c>
      <c r="F32" s="9">
        <v>3685</v>
      </c>
      <c r="G32" s="355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6"/>
    </row>
    <row r="33" spans="2:16" ht="30" customHeight="1">
      <c r="B33" s="20" t="s">
        <v>283</v>
      </c>
      <c r="C33" s="3" t="s">
        <v>644</v>
      </c>
      <c r="D33" s="8" t="s">
        <v>241</v>
      </c>
      <c r="E33" s="364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6"/>
    </row>
    <row r="34" spans="2:16" s="26" customFormat="1" ht="18" customHeight="1" thickBot="1">
      <c r="B34" s="34" t="s">
        <v>9</v>
      </c>
      <c r="C34" s="35"/>
      <c r="D34" s="35"/>
      <c r="E34" s="367"/>
      <c r="F34" s="280">
        <f>SUM(F32:F33)</f>
        <v>8877</v>
      </c>
      <c r="G34" s="280">
        <f t="shared" ref="G34:L34" si="8">SUM(G32:G33)</f>
        <v>0</v>
      </c>
      <c r="H34" s="280">
        <f>SUM(H32:H33)</f>
        <v>8877</v>
      </c>
      <c r="I34" s="280">
        <f t="shared" si="8"/>
        <v>0</v>
      </c>
      <c r="J34" s="280">
        <f>SUM(J32:J33)</f>
        <v>0</v>
      </c>
      <c r="K34" s="280">
        <f>SUM(K32:K33)</f>
        <v>659.42</v>
      </c>
      <c r="L34" s="280">
        <f t="shared" si="8"/>
        <v>659.42</v>
      </c>
      <c r="M34" s="280">
        <f>SUM(M32:M33)</f>
        <v>8217.58</v>
      </c>
      <c r="N34" s="36"/>
      <c r="O34" s="293">
        <f>H34+I34-L34</f>
        <v>8217.58</v>
      </c>
      <c r="P34" s="296">
        <f t="shared" si="0"/>
        <v>0</v>
      </c>
    </row>
    <row r="35" spans="2:16" ht="18" customHeight="1" thickTop="1">
      <c r="B35" s="30"/>
      <c r="E35" s="368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6"/>
    </row>
    <row r="36" spans="2:16" ht="18" customHeight="1">
      <c r="B36" s="37" t="s">
        <v>14</v>
      </c>
      <c r="E36" s="368"/>
      <c r="N36" s="32"/>
      <c r="P36" s="296"/>
    </row>
    <row r="37" spans="2:16" ht="30" customHeight="1">
      <c r="B37" s="20" t="s">
        <v>284</v>
      </c>
      <c r="C37" s="3" t="s">
        <v>222</v>
      </c>
      <c r="D37" s="8" t="s">
        <v>242</v>
      </c>
      <c r="E37" s="364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6"/>
    </row>
    <row r="38" spans="2:16" ht="30" customHeight="1">
      <c r="B38" s="20" t="s">
        <v>372</v>
      </c>
      <c r="C38" s="3" t="s">
        <v>646</v>
      </c>
      <c r="D38" s="8" t="s">
        <v>243</v>
      </c>
      <c r="E38" s="364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6"/>
    </row>
    <row r="39" spans="2:16" s="26" customFormat="1" ht="18" customHeight="1" thickBot="1">
      <c r="B39" s="34" t="s">
        <v>9</v>
      </c>
      <c r="C39" s="35"/>
      <c r="D39" s="35"/>
      <c r="E39" s="367"/>
      <c r="F39" s="280">
        <f>SUM(F37:F38)</f>
        <v>8166</v>
      </c>
      <c r="G39" s="280">
        <f t="shared" ref="G39:L39" si="9">SUM(G37:G38)</f>
        <v>0</v>
      </c>
      <c r="H39" s="280">
        <f>SUM(H37:H38)</f>
        <v>8166</v>
      </c>
      <c r="I39" s="280">
        <f t="shared" si="9"/>
        <v>0</v>
      </c>
      <c r="J39" s="280">
        <f>SUM(J37:J38)</f>
        <v>0</v>
      </c>
      <c r="K39" s="280">
        <f>SUM(K37:K38)</f>
        <v>543.55999999999995</v>
      </c>
      <c r="L39" s="280">
        <f t="shared" si="9"/>
        <v>543.55999999999995</v>
      </c>
      <c r="M39" s="280">
        <f>SUM(M37:M38)</f>
        <v>7622.4400000000005</v>
      </c>
      <c r="N39" s="36"/>
      <c r="O39" s="293">
        <f>H39+I39-L39</f>
        <v>7622.4400000000005</v>
      </c>
      <c r="P39" s="296">
        <f t="shared" si="0"/>
        <v>0</v>
      </c>
    </row>
    <row r="40" spans="2:16" ht="18" customHeight="1" thickTop="1">
      <c r="B40" s="30"/>
      <c r="E40" s="368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6"/>
    </row>
    <row r="41" spans="2:16" ht="18" customHeight="1">
      <c r="B41" s="30"/>
      <c r="E41" s="368"/>
      <c r="N41" s="32"/>
      <c r="P41" s="296"/>
    </row>
    <row r="42" spans="2:16" ht="18" customHeight="1">
      <c r="B42" s="37" t="s">
        <v>15</v>
      </c>
      <c r="E42" s="368"/>
      <c r="N42" s="32"/>
      <c r="P42" s="296"/>
    </row>
    <row r="43" spans="2:16" ht="30" customHeight="1">
      <c r="B43" s="20" t="s">
        <v>373</v>
      </c>
      <c r="C43" s="3" t="s">
        <v>588</v>
      </c>
      <c r="D43" s="8" t="s">
        <v>244</v>
      </c>
      <c r="E43" s="364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0"/>
      <c r="O43" s="200"/>
      <c r="P43" s="296"/>
    </row>
    <row r="44" spans="2:16" ht="30" customHeight="1">
      <c r="B44" s="20" t="s">
        <v>374</v>
      </c>
      <c r="C44" s="3" t="s">
        <v>642</v>
      </c>
      <c r="D44" s="8" t="s">
        <v>253</v>
      </c>
      <c r="E44" s="364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6"/>
    </row>
    <row r="45" spans="2:16" ht="30" customHeight="1">
      <c r="B45" s="20" t="s">
        <v>375</v>
      </c>
      <c r="C45" s="238" t="s">
        <v>627</v>
      </c>
      <c r="D45" s="8" t="s">
        <v>236</v>
      </c>
      <c r="E45" s="364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6"/>
    </row>
    <row r="46" spans="2:16" ht="30" customHeight="1">
      <c r="B46" s="20" t="s">
        <v>376</v>
      </c>
      <c r="C46" s="3" t="s">
        <v>643</v>
      </c>
      <c r="D46" s="8" t="s">
        <v>236</v>
      </c>
      <c r="E46" s="364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6"/>
    </row>
    <row r="47" spans="2:16" s="26" customFormat="1" ht="18" customHeight="1" thickBot="1">
      <c r="B47" s="34" t="s">
        <v>9</v>
      </c>
      <c r="C47" s="35"/>
      <c r="D47" s="35"/>
      <c r="E47" s="367"/>
      <c r="F47" s="280">
        <f>SUM(F43:F46)</f>
        <v>22234</v>
      </c>
      <c r="G47" s="280">
        <f t="shared" ref="G47:I47" si="12">SUM(G43:G46)</f>
        <v>0</v>
      </c>
      <c r="H47" s="280">
        <f>SUM(H43:H46)</f>
        <v>22234</v>
      </c>
      <c r="I47" s="280">
        <f t="shared" si="12"/>
        <v>0</v>
      </c>
      <c r="J47" s="280">
        <f>SUM(J43:J46)</f>
        <v>0</v>
      </c>
      <c r="K47" s="280">
        <f>SUM(K43:K46)</f>
        <v>2432.8399999999997</v>
      </c>
      <c r="L47" s="280">
        <f>SUM(L43:L46)</f>
        <v>2432.8399999999997</v>
      </c>
      <c r="M47" s="280">
        <f>SUM(M43:M46)</f>
        <v>19801.16</v>
      </c>
      <c r="N47" s="36"/>
      <c r="O47" s="294">
        <f>H47+I47-L47-J47</f>
        <v>19801.16</v>
      </c>
      <c r="P47" s="296">
        <f t="shared" si="0"/>
        <v>0</v>
      </c>
    </row>
    <row r="48" spans="2:16" ht="18" customHeight="1" thickTop="1">
      <c r="B48" s="30"/>
      <c r="E48" s="368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6"/>
    </row>
    <row r="49" spans="2:16" ht="18" customHeight="1">
      <c r="B49" s="30"/>
      <c r="E49" s="368"/>
      <c r="N49" s="32"/>
      <c r="P49" s="296"/>
    </row>
    <row r="50" spans="2:16" ht="18" customHeight="1">
      <c r="B50" s="37" t="s">
        <v>16</v>
      </c>
      <c r="E50" s="368"/>
      <c r="N50" s="32"/>
      <c r="P50" s="296"/>
    </row>
    <row r="51" spans="2:16" ht="30" customHeight="1">
      <c r="B51" s="20" t="s">
        <v>377</v>
      </c>
      <c r="C51" s="3" t="s">
        <v>36</v>
      </c>
      <c r="D51" s="8" t="s">
        <v>246</v>
      </c>
      <c r="E51" s="364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6"/>
    </row>
    <row r="52" spans="2:16" ht="30" customHeight="1">
      <c r="B52" s="20" t="s">
        <v>378</v>
      </c>
      <c r="C52" s="3" t="s">
        <v>664</v>
      </c>
      <c r="D52" s="8" t="s">
        <v>770</v>
      </c>
      <c r="E52" s="364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564">
        <v>1500</v>
      </c>
      <c r="K52" s="9">
        <v>490.25</v>
      </c>
      <c r="L52" s="9">
        <f>J52+K52</f>
        <v>1990.25</v>
      </c>
      <c r="M52" s="9">
        <f>H52-L52</f>
        <v>3201.75</v>
      </c>
      <c r="N52" s="41"/>
      <c r="P52" s="296"/>
    </row>
    <row r="53" spans="2:16" s="26" customFormat="1" ht="18" customHeight="1">
      <c r="B53" s="42" t="s">
        <v>9</v>
      </c>
      <c r="C53" s="43"/>
      <c r="D53" s="43"/>
      <c r="E53" s="369"/>
      <c r="F53" s="281">
        <f>SUM(F51:F52)</f>
        <v>9379</v>
      </c>
      <c r="G53" s="281">
        <f t="shared" ref="G53:L53" si="13">SUM(G51:G52)</f>
        <v>0</v>
      </c>
      <c r="H53" s="281">
        <f>SUM(H51:H52)</f>
        <v>9379</v>
      </c>
      <c r="I53" s="281">
        <f t="shared" si="13"/>
        <v>0</v>
      </c>
      <c r="J53" s="281">
        <f>SUM(J51:J52)</f>
        <v>1500</v>
      </c>
      <c r="K53" s="281">
        <f>SUM(K51:K52)</f>
        <v>822.85</v>
      </c>
      <c r="L53" s="281">
        <f t="shared" si="13"/>
        <v>2322.85</v>
      </c>
      <c r="M53" s="281">
        <f>SUM(M51:M52)</f>
        <v>7056.15</v>
      </c>
      <c r="N53" s="44"/>
      <c r="O53" s="293">
        <f>H53+I53-L53</f>
        <v>7056.15</v>
      </c>
      <c r="P53" s="296">
        <f t="shared" si="0"/>
        <v>0</v>
      </c>
    </row>
    <row r="54" spans="2:16" ht="18" customHeight="1">
      <c r="E54" s="370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6"/>
    </row>
    <row r="55" spans="2:16" ht="18" customHeight="1">
      <c r="E55" s="370"/>
      <c r="F55" s="16"/>
      <c r="G55" s="16"/>
      <c r="H55" s="16"/>
      <c r="I55" s="16"/>
      <c r="J55" s="16"/>
      <c r="K55" s="16"/>
      <c r="L55" s="16"/>
      <c r="M55" s="18"/>
      <c r="N55" s="32"/>
      <c r="P55" s="296"/>
    </row>
    <row r="56" spans="2:16" ht="18" customHeight="1">
      <c r="B56" s="627" t="s">
        <v>218</v>
      </c>
      <c r="C56" s="628"/>
      <c r="D56" s="628"/>
      <c r="E56" s="628"/>
      <c r="F56" s="628"/>
      <c r="G56" s="628"/>
      <c r="H56" s="628"/>
      <c r="I56" s="628"/>
      <c r="J56" s="628"/>
      <c r="K56" s="628"/>
      <c r="L56" s="628"/>
      <c r="M56" s="628"/>
      <c r="N56" s="629"/>
      <c r="P56" s="296"/>
    </row>
    <row r="57" spans="2:16" ht="18" customHeight="1">
      <c r="B57" s="630" t="s">
        <v>793</v>
      </c>
      <c r="C57" s="631"/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2"/>
      <c r="P57" s="296"/>
    </row>
    <row r="58" spans="2:16" ht="18" customHeight="1">
      <c r="B58" s="30"/>
      <c r="C58" s="31" t="s">
        <v>0</v>
      </c>
      <c r="D58" s="31"/>
      <c r="E58" s="366"/>
      <c r="N58" s="32"/>
      <c r="P58" s="296"/>
    </row>
    <row r="59" spans="2:16" ht="30" customHeight="1" thickBot="1">
      <c r="B59" s="454" t="s">
        <v>1</v>
      </c>
      <c r="C59" s="455" t="s">
        <v>2</v>
      </c>
      <c r="D59" s="455"/>
      <c r="E59" s="456"/>
      <c r="F59" s="455" t="s">
        <v>3</v>
      </c>
      <c r="G59" s="457" t="s">
        <v>4</v>
      </c>
      <c r="H59" s="457" t="s">
        <v>5</v>
      </c>
      <c r="I59" s="455" t="s">
        <v>48</v>
      </c>
      <c r="J59" s="455"/>
      <c r="K59" s="455" t="s">
        <v>47</v>
      </c>
      <c r="L59" s="457" t="s">
        <v>6</v>
      </c>
      <c r="M59" s="458" t="s">
        <v>7</v>
      </c>
      <c r="N59" s="459" t="s">
        <v>29</v>
      </c>
      <c r="P59" s="296"/>
    </row>
    <row r="60" spans="2:16" ht="18" customHeight="1" thickTop="1">
      <c r="B60" s="37" t="s">
        <v>17</v>
      </c>
      <c r="E60" s="368"/>
      <c r="N60" s="32"/>
      <c r="P60" s="296"/>
    </row>
    <row r="61" spans="2:16" ht="18" customHeight="1">
      <c r="B61" s="20" t="s">
        <v>379</v>
      </c>
      <c r="C61" s="3" t="s">
        <v>586</v>
      </c>
      <c r="D61" s="8" t="s">
        <v>587</v>
      </c>
      <c r="E61" s="364">
        <f>10384/2</f>
        <v>5192</v>
      </c>
      <c r="F61" s="513">
        <f>E61</f>
        <v>5192</v>
      </c>
      <c r="G61" s="27"/>
      <c r="H61" s="27">
        <f>F61</f>
        <v>5192</v>
      </c>
      <c r="I61" s="27"/>
      <c r="J61" s="563">
        <v>500</v>
      </c>
      <c r="K61" s="27">
        <v>490.25</v>
      </c>
      <c r="L61" s="27">
        <f>J61+K61</f>
        <v>990.25</v>
      </c>
      <c r="M61" s="27">
        <f>H61-L61</f>
        <v>4201.75</v>
      </c>
      <c r="N61" s="32"/>
      <c r="P61" s="296"/>
    </row>
    <row r="62" spans="2:16" ht="24.95" customHeight="1">
      <c r="B62" s="20" t="s">
        <v>380</v>
      </c>
      <c r="C62" s="3" t="s">
        <v>37</v>
      </c>
      <c r="D62" s="8" t="s">
        <v>253</v>
      </c>
      <c r="E62" s="364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6" t="s">
        <v>665</v>
      </c>
      <c r="P62" s="296"/>
    </row>
    <row r="63" spans="2:16" s="26" customFormat="1" ht="24.95" customHeight="1" thickBot="1">
      <c r="B63" s="34" t="s">
        <v>9</v>
      </c>
      <c r="C63" s="35"/>
      <c r="D63" s="35"/>
      <c r="E63" s="367"/>
      <c r="F63" s="280">
        <f>SUM(F62+F61)</f>
        <v>9163</v>
      </c>
      <c r="G63" s="280">
        <f t="shared" ref="G63:I63" si="14">SUM(G62)</f>
        <v>0</v>
      </c>
      <c r="H63" s="280">
        <f>SUM(H61:H62)</f>
        <v>9163</v>
      </c>
      <c r="I63" s="280">
        <f t="shared" si="14"/>
        <v>0</v>
      </c>
      <c r="J63" s="280">
        <f>SUM(J61:J62)</f>
        <v>500</v>
      </c>
      <c r="K63" s="280">
        <f>SUM(K61:K62)</f>
        <v>799.35</v>
      </c>
      <c r="L63" s="280">
        <f>SUM(L61:L62)</f>
        <v>1299.3499999999999</v>
      </c>
      <c r="M63" s="280">
        <f>SUM(M61:M62)</f>
        <v>7863.65</v>
      </c>
      <c r="N63" s="46"/>
      <c r="O63" s="293">
        <f>H63+I63-L63-J63</f>
        <v>7363.65</v>
      </c>
      <c r="P63" s="296">
        <f t="shared" si="0"/>
        <v>500</v>
      </c>
    </row>
    <row r="64" spans="2:16" ht="24.95" customHeight="1" thickTop="1">
      <c r="B64" s="30"/>
      <c r="E64" s="368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6"/>
    </row>
    <row r="65" spans="2:16" ht="24.95" customHeight="1">
      <c r="B65" s="30"/>
      <c r="E65" s="368"/>
      <c r="N65" s="32"/>
      <c r="P65" s="296"/>
    </row>
    <row r="66" spans="2:16" ht="24.95" customHeight="1">
      <c r="B66" s="37" t="s">
        <v>18</v>
      </c>
      <c r="E66" s="368"/>
      <c r="N66" s="32"/>
      <c r="P66" s="296"/>
    </row>
    <row r="67" spans="2:16" ht="24.95" customHeight="1">
      <c r="B67" s="20" t="s">
        <v>381</v>
      </c>
      <c r="C67" s="3" t="s">
        <v>40</v>
      </c>
      <c r="D67" s="8" t="s">
        <v>248</v>
      </c>
      <c r="E67" s="364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6"/>
    </row>
    <row r="68" spans="2:16" ht="24.95" customHeight="1">
      <c r="B68" s="20" t="s">
        <v>382</v>
      </c>
      <c r="C68" s="3" t="s">
        <v>38</v>
      </c>
      <c r="D68" s="8" t="s">
        <v>249</v>
      </c>
      <c r="E68" s="364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6"/>
    </row>
    <row r="69" spans="2:16" ht="24.95" customHeight="1">
      <c r="B69" s="20" t="s">
        <v>383</v>
      </c>
      <c r="C69" s="3" t="s">
        <v>39</v>
      </c>
      <c r="D69" s="8" t="s">
        <v>250</v>
      </c>
      <c r="E69" s="364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6"/>
    </row>
    <row r="70" spans="2:16" s="26" customFormat="1" ht="24.95" customHeight="1" thickBot="1">
      <c r="B70" s="34" t="s">
        <v>9</v>
      </c>
      <c r="C70" s="35"/>
      <c r="D70" s="35"/>
      <c r="E70" s="367"/>
      <c r="F70" s="280">
        <f>SUM(F67:F69)</f>
        <v>13412</v>
      </c>
      <c r="G70" s="280">
        <f t="shared" ref="G70:I70" si="17">SUM(G67:G69)</f>
        <v>0</v>
      </c>
      <c r="H70" s="280">
        <f>SUM(H67:H69)</f>
        <v>13412</v>
      </c>
      <c r="I70" s="280">
        <f t="shared" si="17"/>
        <v>0</v>
      </c>
      <c r="J70" s="280">
        <f>SUM(J67:J69)</f>
        <v>0</v>
      </c>
      <c r="K70" s="280">
        <f>SUM(K67:K69)</f>
        <v>1155.3400000000001</v>
      </c>
      <c r="L70" s="280">
        <f>SUM(L67:L69)</f>
        <v>1155.3400000000001</v>
      </c>
      <c r="M70" s="280">
        <f>SUM(M67:M69)</f>
        <v>12256.66</v>
      </c>
      <c r="N70" s="46"/>
      <c r="O70" s="293">
        <f>H70+I70-L70</f>
        <v>12256.66</v>
      </c>
      <c r="P70" s="296">
        <f t="shared" ref="P70:P123" si="18">M70-O70</f>
        <v>0</v>
      </c>
    </row>
    <row r="71" spans="2:16" ht="24.95" customHeight="1" thickTop="1">
      <c r="B71" s="30"/>
      <c r="E71" s="368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6"/>
    </row>
    <row r="72" spans="2:16" ht="24.95" customHeight="1">
      <c r="B72" s="30"/>
      <c r="E72" s="368"/>
      <c r="N72" s="32"/>
      <c r="P72" s="296"/>
    </row>
    <row r="73" spans="2:16" ht="24.95" customHeight="1">
      <c r="B73" s="37" t="s">
        <v>19</v>
      </c>
      <c r="E73" s="368"/>
      <c r="N73" s="32"/>
      <c r="P73" s="296"/>
    </row>
    <row r="74" spans="2:16" ht="24.95" customHeight="1">
      <c r="B74" s="20" t="s">
        <v>384</v>
      </c>
      <c r="C74" s="3" t="s">
        <v>476</v>
      </c>
      <c r="D74" s="8" t="s">
        <v>251</v>
      </c>
      <c r="E74" s="364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6"/>
    </row>
    <row r="75" spans="2:16" s="26" customFormat="1" ht="24.95" customHeight="1" thickBot="1">
      <c r="B75" s="34" t="s">
        <v>9</v>
      </c>
      <c r="C75" s="35"/>
      <c r="D75" s="35"/>
      <c r="E75" s="367"/>
      <c r="F75" s="280">
        <f>SUM(F74)</f>
        <v>8039</v>
      </c>
      <c r="G75" s="280">
        <f t="shared" ref="G75:I75" si="19">SUM(G74)</f>
        <v>0</v>
      </c>
      <c r="H75" s="280">
        <f>SUM(H74)</f>
        <v>8039</v>
      </c>
      <c r="I75" s="280">
        <f t="shared" si="19"/>
        <v>0</v>
      </c>
      <c r="J75" s="280">
        <f>SUM(J74)</f>
        <v>0</v>
      </c>
      <c r="K75" s="280">
        <f>SUM(K74)</f>
        <v>1070.4000000000001</v>
      </c>
      <c r="L75" s="280">
        <f>SUM(L74)</f>
        <v>1070.4000000000001</v>
      </c>
      <c r="M75" s="280">
        <f>SUM(M74)</f>
        <v>6968.6</v>
      </c>
      <c r="N75" s="46"/>
      <c r="O75" s="293">
        <f>H75+I75-L75</f>
        <v>6968.6</v>
      </c>
      <c r="P75" s="296">
        <f t="shared" si="18"/>
        <v>0</v>
      </c>
    </row>
    <row r="76" spans="2:16" ht="18" customHeight="1" thickTop="1">
      <c r="B76" s="47"/>
      <c r="C76" s="48"/>
      <c r="D76" s="48"/>
      <c r="E76" s="371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6"/>
    </row>
    <row r="77" spans="2:16" ht="18" customHeight="1">
      <c r="E77" s="370"/>
      <c r="P77" s="296"/>
    </row>
    <row r="78" spans="2:16" ht="18" customHeight="1">
      <c r="E78" s="370"/>
      <c r="P78" s="296"/>
    </row>
    <row r="79" spans="2:16" ht="18" customHeight="1">
      <c r="E79" s="370"/>
      <c r="P79" s="296"/>
    </row>
    <row r="80" spans="2:16" ht="18" customHeight="1">
      <c r="B80" s="627" t="s">
        <v>218</v>
      </c>
      <c r="C80" s="628"/>
      <c r="D80" s="628"/>
      <c r="E80" s="628"/>
      <c r="F80" s="628"/>
      <c r="G80" s="628"/>
      <c r="H80" s="628"/>
      <c r="I80" s="628"/>
      <c r="J80" s="628"/>
      <c r="K80" s="628"/>
      <c r="L80" s="628"/>
      <c r="M80" s="628"/>
      <c r="N80" s="629"/>
      <c r="P80" s="296"/>
    </row>
    <row r="81" spans="2:16" ht="18" customHeight="1">
      <c r="B81" s="630" t="s">
        <v>791</v>
      </c>
      <c r="C81" s="631"/>
      <c r="D81" s="631"/>
      <c r="E81" s="631"/>
      <c r="F81" s="631"/>
      <c r="G81" s="631"/>
      <c r="H81" s="631"/>
      <c r="I81" s="631"/>
      <c r="J81" s="631"/>
      <c r="K81" s="631"/>
      <c r="L81" s="631"/>
      <c r="M81" s="631"/>
      <c r="N81" s="632"/>
      <c r="P81" s="296"/>
    </row>
    <row r="82" spans="2:16" ht="18" customHeight="1">
      <c r="B82" s="30"/>
      <c r="C82" s="31" t="s">
        <v>0</v>
      </c>
      <c r="D82" s="31"/>
      <c r="E82" s="366"/>
      <c r="N82" s="32"/>
      <c r="P82" s="296"/>
    </row>
    <row r="83" spans="2:16" ht="30" customHeight="1" thickBot="1">
      <c r="B83" s="454" t="s">
        <v>1</v>
      </c>
      <c r="C83" s="455" t="s">
        <v>2</v>
      </c>
      <c r="D83" s="455"/>
      <c r="E83" s="456"/>
      <c r="F83" s="455" t="s">
        <v>3</v>
      </c>
      <c r="G83" s="457" t="s">
        <v>4</v>
      </c>
      <c r="H83" s="457" t="s">
        <v>5</v>
      </c>
      <c r="I83" s="455" t="s">
        <v>48</v>
      </c>
      <c r="J83" s="455"/>
      <c r="K83" s="455" t="s">
        <v>47</v>
      </c>
      <c r="L83" s="457" t="s">
        <v>6</v>
      </c>
      <c r="M83" s="458" t="s">
        <v>7</v>
      </c>
      <c r="N83" s="459" t="s">
        <v>29</v>
      </c>
      <c r="P83" s="296"/>
    </row>
    <row r="84" spans="2:16" ht="18" customHeight="1" thickTop="1">
      <c r="B84" s="37" t="s">
        <v>20</v>
      </c>
      <c r="E84" s="368"/>
      <c r="N84" s="32"/>
      <c r="P84" s="296"/>
    </row>
    <row r="85" spans="2:16" ht="30" customHeight="1">
      <c r="B85" s="20" t="s">
        <v>385</v>
      </c>
      <c r="C85" s="3" t="s">
        <v>448</v>
      </c>
      <c r="D85" s="8" t="s">
        <v>252</v>
      </c>
      <c r="E85" s="364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6"/>
    </row>
    <row r="86" spans="2:16" ht="30" customHeight="1">
      <c r="B86" s="20" t="s">
        <v>386</v>
      </c>
      <c r="C86" s="3" t="s">
        <v>449</v>
      </c>
      <c r="D86" s="8" t="s">
        <v>252</v>
      </c>
      <c r="E86" s="364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6"/>
    </row>
    <row r="87" spans="2:16" ht="30" customHeight="1">
      <c r="B87" s="20" t="s">
        <v>387</v>
      </c>
      <c r="C87" s="3" t="s">
        <v>450</v>
      </c>
      <c r="D87" s="8" t="s">
        <v>252</v>
      </c>
      <c r="E87" s="364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6"/>
    </row>
    <row r="88" spans="2:16" ht="30" customHeight="1">
      <c r="B88" s="20" t="s">
        <v>388</v>
      </c>
      <c r="C88" s="3" t="s">
        <v>451</v>
      </c>
      <c r="D88" s="8" t="s">
        <v>245</v>
      </c>
      <c r="E88" s="364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6"/>
    </row>
    <row r="89" spans="2:16" ht="30" customHeight="1">
      <c r="B89" s="20" t="s">
        <v>389</v>
      </c>
      <c r="C89" s="3" t="s">
        <v>452</v>
      </c>
      <c r="D89" s="8" t="s">
        <v>253</v>
      </c>
      <c r="E89" s="364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6"/>
    </row>
    <row r="90" spans="2:16" ht="30" customHeight="1">
      <c r="B90" s="20" t="s">
        <v>390</v>
      </c>
      <c r="C90" s="3" t="s">
        <v>453</v>
      </c>
      <c r="D90" s="8" t="s">
        <v>252</v>
      </c>
      <c r="E90" s="364">
        <f>8506/2</f>
        <v>4253</v>
      </c>
      <c r="F90" s="9">
        <v>0</v>
      </c>
      <c r="G90" s="9">
        <v>0</v>
      </c>
      <c r="H90" s="9">
        <f t="shared" si="21"/>
        <v>0</v>
      </c>
      <c r="I90" s="13"/>
      <c r="J90" s="355"/>
      <c r="K90" s="9">
        <v>0</v>
      </c>
      <c r="L90" s="9">
        <f t="shared" si="22"/>
        <v>0</v>
      </c>
      <c r="M90" s="9">
        <f t="shared" si="23"/>
        <v>0</v>
      </c>
      <c r="N90" s="561" t="s">
        <v>756</v>
      </c>
      <c r="P90" s="296"/>
    </row>
    <row r="91" spans="2:16" ht="30" customHeight="1">
      <c r="B91" s="20" t="s">
        <v>391</v>
      </c>
      <c r="C91" s="3" t="s">
        <v>454</v>
      </c>
      <c r="D91" s="8" t="s">
        <v>253</v>
      </c>
      <c r="E91" s="364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6"/>
    </row>
    <row r="92" spans="2:16" ht="30" customHeight="1">
      <c r="B92" s="20" t="s">
        <v>392</v>
      </c>
      <c r="C92" s="3" t="s">
        <v>630</v>
      </c>
      <c r="D92" s="8" t="s">
        <v>631</v>
      </c>
      <c r="E92" s="364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6"/>
    </row>
    <row r="93" spans="2:16" s="26" customFormat="1" ht="18" customHeight="1" thickBot="1">
      <c r="B93" s="34" t="s">
        <v>9</v>
      </c>
      <c r="C93" s="35"/>
      <c r="D93" s="35"/>
      <c r="E93" s="367"/>
      <c r="F93" s="280">
        <f>SUM(F85:F92)</f>
        <v>38295</v>
      </c>
      <c r="G93" s="280">
        <f>SUM(G85:G92)</f>
        <v>0</v>
      </c>
      <c r="H93" s="280">
        <f>SUM(H85:H92)</f>
        <v>38295</v>
      </c>
      <c r="I93" s="280">
        <f t="shared" ref="I93" si="24">SUM(I85:I91)</f>
        <v>0</v>
      </c>
      <c r="J93" s="280">
        <f>SUM(J85:J91)</f>
        <v>0</v>
      </c>
      <c r="K93" s="280">
        <f>SUM(K85:K92)</f>
        <v>3933.6</v>
      </c>
      <c r="L93" s="280">
        <f>SUM(L85:L92)</f>
        <v>3933.6</v>
      </c>
      <c r="M93" s="280">
        <f>SUM(M85:M92)</f>
        <v>34361.4</v>
      </c>
      <c r="N93" s="46"/>
      <c r="O93" s="293">
        <f>H93+I93-L93</f>
        <v>34361.4</v>
      </c>
      <c r="P93" s="296">
        <f t="shared" si="18"/>
        <v>0</v>
      </c>
    </row>
    <row r="94" spans="2:16" ht="18" customHeight="1" thickTop="1">
      <c r="B94" s="30"/>
      <c r="E94" s="368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6"/>
    </row>
    <row r="95" spans="2:16" ht="18" customHeight="1">
      <c r="B95" s="30"/>
      <c r="E95" s="368"/>
      <c r="N95" s="32"/>
      <c r="P95" s="296"/>
    </row>
    <row r="96" spans="2:16" ht="18" customHeight="1">
      <c r="B96" s="37" t="s">
        <v>21</v>
      </c>
      <c r="E96" s="368"/>
      <c r="N96" s="32"/>
      <c r="P96" s="296"/>
    </row>
    <row r="97" spans="2:16" ht="30" customHeight="1">
      <c r="B97" s="20" t="s">
        <v>393</v>
      </c>
      <c r="C97" s="3" t="s">
        <v>455</v>
      </c>
      <c r="D97" s="8" t="s">
        <v>254</v>
      </c>
      <c r="E97" s="364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6"/>
    </row>
    <row r="98" spans="2:16" s="26" customFormat="1" ht="18" customHeight="1" thickBot="1">
      <c r="B98" s="34" t="s">
        <v>9</v>
      </c>
      <c r="C98" s="35"/>
      <c r="D98" s="35"/>
      <c r="E98" s="367"/>
      <c r="F98" s="280">
        <f t="shared" ref="F98:I98" si="25">SUM(F97:F97)</f>
        <v>3707</v>
      </c>
      <c r="G98" s="280">
        <f t="shared" si="25"/>
        <v>0</v>
      </c>
      <c r="H98" s="280">
        <f>SUM(H97:H97)</f>
        <v>3707</v>
      </c>
      <c r="I98" s="280">
        <f t="shared" si="25"/>
        <v>0</v>
      </c>
      <c r="J98" s="280">
        <f>SUM(J97)</f>
        <v>0</v>
      </c>
      <c r="K98" s="280">
        <f>SUM(K97:K97)</f>
        <v>280.37</v>
      </c>
      <c r="L98" s="280">
        <f>SUM(L97:L97)</f>
        <v>280.37</v>
      </c>
      <c r="M98" s="280">
        <f>SUM(M97:M97)</f>
        <v>3426.63</v>
      </c>
      <c r="N98" s="46"/>
      <c r="O98" s="293">
        <f>H98+I98-L98</f>
        <v>3426.63</v>
      </c>
      <c r="P98" s="296">
        <f t="shared" si="18"/>
        <v>0</v>
      </c>
    </row>
    <row r="99" spans="2:16" ht="18" customHeight="1" thickTop="1">
      <c r="B99" s="30"/>
      <c r="E99" s="368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6"/>
    </row>
    <row r="100" spans="2:16" ht="18" customHeight="1">
      <c r="B100" s="30"/>
      <c r="E100" s="368"/>
      <c r="N100" s="32"/>
      <c r="P100" s="296"/>
    </row>
    <row r="101" spans="2:16" ht="18" customHeight="1">
      <c r="B101" s="37" t="s">
        <v>22</v>
      </c>
      <c r="E101" s="368"/>
      <c r="N101" s="32"/>
      <c r="P101" s="296"/>
    </row>
    <row r="102" spans="2:16" ht="30" customHeight="1">
      <c r="B102" s="619" t="s">
        <v>394</v>
      </c>
      <c r="C102" s="620" t="s">
        <v>456</v>
      </c>
      <c r="D102" s="621" t="s">
        <v>255</v>
      </c>
      <c r="E102" s="622">
        <f>4482/2</f>
        <v>2241</v>
      </c>
      <c r="F102" s="623">
        <v>1792.8</v>
      </c>
      <c r="G102" s="623">
        <v>0</v>
      </c>
      <c r="H102" s="623">
        <f>F102</f>
        <v>1792.8</v>
      </c>
      <c r="I102" s="623">
        <v>37.32</v>
      </c>
      <c r="J102" s="623"/>
      <c r="K102" s="623"/>
      <c r="L102" s="623">
        <f>K102</f>
        <v>0</v>
      </c>
      <c r="M102" s="623">
        <f>H102+I102-L102-J102</f>
        <v>1830.12</v>
      </c>
      <c r="N102" s="620"/>
      <c r="P102" s="296"/>
    </row>
    <row r="103" spans="2:16" ht="30" customHeight="1">
      <c r="B103" s="20" t="s">
        <v>395</v>
      </c>
      <c r="C103" s="3" t="s">
        <v>41</v>
      </c>
      <c r="D103" s="8" t="s">
        <v>256</v>
      </c>
      <c r="E103" s="364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6"/>
    </row>
    <row r="104" spans="2:16" s="26" customFormat="1" ht="18" customHeight="1" thickBot="1">
      <c r="B104" s="34" t="s">
        <v>9</v>
      </c>
      <c r="C104" s="35"/>
      <c r="D104" s="35"/>
      <c r="E104" s="367"/>
      <c r="F104" s="280">
        <f>SUM(F102:F103)</f>
        <v>6984.8</v>
      </c>
      <c r="G104" s="280">
        <f t="shared" ref="G104:I104" si="26">SUM(G102:G103)</f>
        <v>0</v>
      </c>
      <c r="H104" s="280">
        <f>SUM(H102:H103)</f>
        <v>6984.8</v>
      </c>
      <c r="I104" s="280">
        <f t="shared" si="26"/>
        <v>37.32</v>
      </c>
      <c r="J104" s="280">
        <f>SUM(J102:J103)</f>
        <v>0</v>
      </c>
      <c r="K104" s="280">
        <f>SUM(K102:K103)</f>
        <v>490.25</v>
      </c>
      <c r="L104" s="280">
        <f>SUM(L102:L103)</f>
        <v>490.25</v>
      </c>
      <c r="M104" s="280">
        <f>SUM(M102:M103)</f>
        <v>6531.87</v>
      </c>
      <c r="N104" s="36"/>
      <c r="O104" s="293">
        <f>H104+I104-L104</f>
        <v>6531.87</v>
      </c>
      <c r="P104" s="296">
        <f t="shared" si="18"/>
        <v>0</v>
      </c>
    </row>
    <row r="105" spans="2:16" ht="18" customHeight="1" thickTop="1">
      <c r="B105" s="47"/>
      <c r="C105" s="48"/>
      <c r="D105" s="48"/>
      <c r="E105" s="371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6"/>
    </row>
    <row r="106" spans="2:16" ht="18" customHeight="1">
      <c r="E106" s="370"/>
      <c r="F106" s="16"/>
      <c r="G106" s="16"/>
      <c r="H106" s="16"/>
      <c r="I106" s="17"/>
      <c r="J106" s="17"/>
      <c r="K106" s="16"/>
      <c r="L106" s="16"/>
      <c r="M106" s="18"/>
      <c r="P106" s="296"/>
    </row>
    <row r="107" spans="2:16" ht="18" customHeight="1">
      <c r="B107" s="627" t="s">
        <v>218</v>
      </c>
      <c r="C107" s="628"/>
      <c r="D107" s="628"/>
      <c r="E107" s="628"/>
      <c r="F107" s="628"/>
      <c r="G107" s="628"/>
      <c r="H107" s="628"/>
      <c r="I107" s="628"/>
      <c r="J107" s="628"/>
      <c r="K107" s="628"/>
      <c r="L107" s="628"/>
      <c r="M107" s="628"/>
      <c r="N107" s="629"/>
      <c r="P107" s="296"/>
    </row>
    <row r="108" spans="2:16" ht="18" customHeight="1">
      <c r="B108" s="630" t="s">
        <v>794</v>
      </c>
      <c r="C108" s="631"/>
      <c r="D108" s="631"/>
      <c r="E108" s="631"/>
      <c r="F108" s="631"/>
      <c r="G108" s="631"/>
      <c r="H108" s="631"/>
      <c r="I108" s="631"/>
      <c r="J108" s="631"/>
      <c r="K108" s="631"/>
      <c r="L108" s="631"/>
      <c r="M108" s="631"/>
      <c r="N108" s="632"/>
      <c r="P108" s="296"/>
    </row>
    <row r="109" spans="2:16" ht="18" customHeight="1">
      <c r="B109" s="30"/>
      <c r="C109" s="31" t="s">
        <v>0</v>
      </c>
      <c r="D109" s="31"/>
      <c r="E109" s="366"/>
      <c r="N109" s="32"/>
      <c r="P109" s="296"/>
    </row>
    <row r="110" spans="2:16" ht="32.25" customHeight="1" thickBot="1">
      <c r="B110" s="454" t="s">
        <v>1</v>
      </c>
      <c r="C110" s="455" t="s">
        <v>2</v>
      </c>
      <c r="D110" s="455"/>
      <c r="E110" s="456"/>
      <c r="F110" s="455" t="s">
        <v>3</v>
      </c>
      <c r="G110" s="457" t="s">
        <v>4</v>
      </c>
      <c r="H110" s="457" t="s">
        <v>5</v>
      </c>
      <c r="I110" s="455" t="s">
        <v>48</v>
      </c>
      <c r="J110" s="455" t="s">
        <v>618</v>
      </c>
      <c r="K110" s="455" t="s">
        <v>47</v>
      </c>
      <c r="L110" s="457" t="s">
        <v>6</v>
      </c>
      <c r="M110" s="458" t="s">
        <v>7</v>
      </c>
      <c r="N110" s="459" t="s">
        <v>29</v>
      </c>
      <c r="P110" s="296"/>
    </row>
    <row r="111" spans="2:16" ht="18" customHeight="1" thickTop="1">
      <c r="B111" s="37" t="s">
        <v>23</v>
      </c>
      <c r="E111" s="368"/>
      <c r="N111" s="32"/>
      <c r="P111" s="296"/>
    </row>
    <row r="112" spans="2:16" ht="30" customHeight="1">
      <c r="B112" s="20" t="s">
        <v>396</v>
      </c>
      <c r="C112" s="3" t="s">
        <v>457</v>
      </c>
      <c r="D112" s="8" t="s">
        <v>257</v>
      </c>
      <c r="E112" s="364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6"/>
    </row>
    <row r="113" spans="2:17" ht="30" customHeight="1">
      <c r="B113" s="20" t="s">
        <v>397</v>
      </c>
      <c r="C113" s="3" t="s">
        <v>458</v>
      </c>
      <c r="D113" s="8" t="s">
        <v>257</v>
      </c>
      <c r="E113" s="364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4"/>
      <c r="P113" s="324">
        <v>3524.16</v>
      </c>
      <c r="Q113" s="324"/>
    </row>
    <row r="114" spans="2:17" ht="30" customHeight="1">
      <c r="B114" s="20" t="s">
        <v>398</v>
      </c>
      <c r="C114" s="3" t="s">
        <v>459</v>
      </c>
      <c r="D114" s="8" t="s">
        <v>257</v>
      </c>
      <c r="E114" s="364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4"/>
      <c r="P114" s="324">
        <v>3524.16</v>
      </c>
    </row>
    <row r="115" spans="2:17" ht="30" customHeight="1">
      <c r="B115" s="20" t="s">
        <v>399</v>
      </c>
      <c r="C115" s="3" t="s">
        <v>638</v>
      </c>
      <c r="D115" s="8" t="s">
        <v>257</v>
      </c>
      <c r="E115" s="364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54"/>
      <c r="O115" s="200"/>
      <c r="P115" s="296"/>
    </row>
    <row r="116" spans="2:17" ht="30" customHeight="1">
      <c r="B116" s="20" t="s">
        <v>400</v>
      </c>
      <c r="C116" s="3" t="s">
        <v>460</v>
      </c>
      <c r="D116" s="8" t="s">
        <v>257</v>
      </c>
      <c r="E116" s="364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6"/>
    </row>
    <row r="117" spans="2:17" s="26" customFormat="1" ht="18" customHeight="1" thickBot="1">
      <c r="B117" s="34" t="s">
        <v>9</v>
      </c>
      <c r="C117" s="35"/>
      <c r="D117" s="35"/>
      <c r="E117" s="367"/>
      <c r="F117" s="280">
        <f>SUM(F112:F116)</f>
        <v>19408</v>
      </c>
      <c r="G117" s="280">
        <f t="shared" ref="G117:M117" si="29">SUM(G112:G116)</f>
        <v>0</v>
      </c>
      <c r="H117" s="280">
        <f t="shared" si="29"/>
        <v>19408</v>
      </c>
      <c r="I117" s="280">
        <f t="shared" si="29"/>
        <v>0</v>
      </c>
      <c r="J117" s="280">
        <f>SUM(J112:J116)</f>
        <v>0</v>
      </c>
      <c r="K117" s="280">
        <f t="shared" si="29"/>
        <v>1370.0900000000001</v>
      </c>
      <c r="L117" s="280">
        <f>SUM(L112:L116)</f>
        <v>1370.0900000000001</v>
      </c>
      <c r="M117" s="280">
        <f t="shared" si="29"/>
        <v>18037.91</v>
      </c>
      <c r="N117" s="46"/>
      <c r="O117" s="294">
        <f>H117+I117-L117</f>
        <v>18037.91</v>
      </c>
      <c r="P117" s="296">
        <f t="shared" si="18"/>
        <v>0</v>
      </c>
    </row>
    <row r="118" spans="2:17" ht="18" customHeight="1" thickTop="1">
      <c r="B118" s="30"/>
      <c r="E118" s="368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6"/>
    </row>
    <row r="119" spans="2:17" ht="18" customHeight="1">
      <c r="B119" s="30"/>
      <c r="E119" s="368"/>
      <c r="N119" s="32"/>
      <c r="P119" s="296"/>
    </row>
    <row r="120" spans="2:17" ht="18" customHeight="1">
      <c r="B120" s="37" t="s">
        <v>24</v>
      </c>
      <c r="E120" s="368"/>
      <c r="N120" s="32"/>
      <c r="P120" s="296"/>
    </row>
    <row r="121" spans="2:17" ht="18" customHeight="1">
      <c r="B121" s="23" t="s">
        <v>401</v>
      </c>
      <c r="C121" s="3" t="s">
        <v>648</v>
      </c>
      <c r="D121" s="8" t="s">
        <v>649</v>
      </c>
      <c r="E121" s="364">
        <f>12210/2</f>
        <v>6105</v>
      </c>
      <c r="F121" s="513">
        <f>E121</f>
        <v>6105</v>
      </c>
      <c r="G121" s="3"/>
      <c r="H121" s="312">
        <f>F121</f>
        <v>6105</v>
      </c>
      <c r="I121" s="3"/>
      <c r="J121" s="513"/>
      <c r="K121" s="3">
        <v>657.3</v>
      </c>
      <c r="L121" s="3">
        <f>K121</f>
        <v>657.3</v>
      </c>
      <c r="M121" s="312">
        <f>H121-L121-J121</f>
        <v>5447.7</v>
      </c>
      <c r="N121" s="32"/>
      <c r="P121" s="296"/>
    </row>
    <row r="122" spans="2:17" ht="30" customHeight="1">
      <c r="B122" s="20" t="s">
        <v>402</v>
      </c>
      <c r="C122" s="3" t="s">
        <v>462</v>
      </c>
      <c r="D122" s="8" t="s">
        <v>253</v>
      </c>
      <c r="E122" s="364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6"/>
    </row>
    <row r="123" spans="2:17" s="26" customFormat="1" ht="18" customHeight="1" thickBot="1">
      <c r="B123" s="34" t="s">
        <v>9</v>
      </c>
      <c r="C123" s="35"/>
      <c r="D123" s="35"/>
      <c r="E123" s="367"/>
      <c r="F123" s="280">
        <f>SUM(F121:F122)</f>
        <v>9649</v>
      </c>
      <c r="G123" s="280">
        <f t="shared" ref="G123:I123" si="30">SUM(G122:G122)</f>
        <v>0</v>
      </c>
      <c r="H123" s="280">
        <f>SUM(H121:H122)</f>
        <v>9649</v>
      </c>
      <c r="I123" s="280">
        <f t="shared" si="30"/>
        <v>0</v>
      </c>
      <c r="J123" s="280">
        <f>J121</f>
        <v>0</v>
      </c>
      <c r="K123" s="280">
        <f>SUM(K121:K122)</f>
        <v>793.17</v>
      </c>
      <c r="L123" s="280">
        <f>SUM(L121:L122)</f>
        <v>793.17</v>
      </c>
      <c r="M123" s="280">
        <f>SUM(M121:M122)</f>
        <v>8855.83</v>
      </c>
      <c r="N123" s="46"/>
      <c r="O123" s="293">
        <f>H123+I123-L123</f>
        <v>8855.83</v>
      </c>
      <c r="P123" s="296">
        <f t="shared" si="18"/>
        <v>0</v>
      </c>
    </row>
    <row r="124" spans="2:17" ht="18" customHeight="1" thickTop="1">
      <c r="B124" s="47"/>
      <c r="C124" s="48"/>
      <c r="D124" s="48"/>
      <c r="E124" s="371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6"/>
    </row>
    <row r="125" spans="2:17" ht="18" customHeight="1">
      <c r="E125" s="370"/>
      <c r="P125" s="296"/>
    </row>
    <row r="126" spans="2:17" ht="18" customHeight="1">
      <c r="E126" s="370"/>
      <c r="P126" s="296"/>
    </row>
    <row r="127" spans="2:17" ht="18" customHeight="1">
      <c r="E127" s="370"/>
      <c r="P127" s="296"/>
    </row>
    <row r="128" spans="2:17" ht="18" customHeight="1">
      <c r="E128" s="370"/>
      <c r="P128" s="296"/>
    </row>
    <row r="129" spans="2:16" ht="18" customHeight="1">
      <c r="B129" s="627" t="s">
        <v>218</v>
      </c>
      <c r="C129" s="628"/>
      <c r="D129" s="628"/>
      <c r="E129" s="628"/>
      <c r="F129" s="628"/>
      <c r="G129" s="628"/>
      <c r="H129" s="628"/>
      <c r="I129" s="628"/>
      <c r="J129" s="628"/>
      <c r="K129" s="628"/>
      <c r="L129" s="628"/>
      <c r="M129" s="628"/>
      <c r="N129" s="629"/>
      <c r="P129" s="296"/>
    </row>
    <row r="130" spans="2:16" ht="18" customHeight="1">
      <c r="B130" s="630" t="s">
        <v>796</v>
      </c>
      <c r="C130" s="631"/>
      <c r="D130" s="631"/>
      <c r="E130" s="631"/>
      <c r="F130" s="631"/>
      <c r="G130" s="631"/>
      <c r="H130" s="631"/>
      <c r="I130" s="631"/>
      <c r="J130" s="631"/>
      <c r="K130" s="631"/>
      <c r="L130" s="631"/>
      <c r="M130" s="631"/>
      <c r="N130" s="632"/>
      <c r="P130" s="296"/>
    </row>
    <row r="131" spans="2:16" ht="18" customHeight="1">
      <c r="B131" s="30" t="s">
        <v>275</v>
      </c>
      <c r="C131" s="31" t="s">
        <v>0</v>
      </c>
      <c r="D131" s="31"/>
      <c r="E131" s="366"/>
      <c r="N131" s="32"/>
      <c r="P131" s="296"/>
    </row>
    <row r="132" spans="2:16" ht="26.25" customHeight="1" thickBot="1">
      <c r="B132" s="454" t="s">
        <v>1</v>
      </c>
      <c r="C132" s="455" t="s">
        <v>2</v>
      </c>
      <c r="D132" s="455"/>
      <c r="E132" s="456"/>
      <c r="F132" s="455" t="s">
        <v>3</v>
      </c>
      <c r="G132" s="457" t="s">
        <v>4</v>
      </c>
      <c r="H132" s="457" t="s">
        <v>5</v>
      </c>
      <c r="I132" s="455" t="s">
        <v>48</v>
      </c>
      <c r="J132" s="455" t="s">
        <v>618</v>
      </c>
      <c r="K132" s="455" t="s">
        <v>47</v>
      </c>
      <c r="L132" s="457" t="s">
        <v>6</v>
      </c>
      <c r="M132" s="458" t="s">
        <v>7</v>
      </c>
      <c r="N132" s="459" t="s">
        <v>29</v>
      </c>
      <c r="P132" s="296"/>
    </row>
    <row r="133" spans="2:16" ht="18" customHeight="1" thickTop="1">
      <c r="B133" s="37" t="s">
        <v>25</v>
      </c>
      <c r="E133" s="368"/>
      <c r="N133" s="32"/>
      <c r="P133" s="296"/>
    </row>
    <row r="134" spans="2:16" ht="35.1" customHeight="1">
      <c r="B134" s="20" t="s">
        <v>403</v>
      </c>
      <c r="C134" s="3" t="s">
        <v>42</v>
      </c>
      <c r="D134" s="8" t="s">
        <v>258</v>
      </c>
      <c r="E134" s="364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2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6"/>
    </row>
    <row r="135" spans="2:16" ht="35.1" customHeight="1">
      <c r="B135" s="619" t="s">
        <v>404</v>
      </c>
      <c r="C135" s="620" t="s">
        <v>615</v>
      </c>
      <c r="D135" s="621" t="s">
        <v>259</v>
      </c>
      <c r="E135" s="622">
        <f>7170/2</f>
        <v>3585</v>
      </c>
      <c r="F135" s="623">
        <v>2868</v>
      </c>
      <c r="G135" s="623"/>
      <c r="H135" s="623">
        <f t="shared" ref="H135:H142" si="33">F135</f>
        <v>2868</v>
      </c>
      <c r="I135" s="624"/>
      <c r="J135" s="624"/>
      <c r="K135" s="623">
        <v>126.63</v>
      </c>
      <c r="L135" s="623">
        <f t="shared" ref="L135:L142" si="34">K135</f>
        <v>126.63</v>
      </c>
      <c r="M135" s="623">
        <f>H135+I135-L135-J135</f>
        <v>2741.37</v>
      </c>
      <c r="N135" s="623"/>
      <c r="P135" s="296"/>
    </row>
    <row r="136" spans="2:16" ht="35.1" customHeight="1">
      <c r="B136" s="20" t="s">
        <v>405</v>
      </c>
      <c r="C136" s="3" t="s">
        <v>266</v>
      </c>
      <c r="D136" s="8" t="s">
        <v>260</v>
      </c>
      <c r="E136" s="364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6"/>
    </row>
    <row r="137" spans="2:16" ht="35.1" customHeight="1">
      <c r="B137" s="20" t="s">
        <v>406</v>
      </c>
      <c r="C137" s="3" t="s">
        <v>265</v>
      </c>
      <c r="D137" s="8" t="s">
        <v>261</v>
      </c>
      <c r="E137" s="364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564">
        <v>1000</v>
      </c>
      <c r="K137" s="9">
        <v>317.8</v>
      </c>
      <c r="L137" s="9">
        <f>J137+K137</f>
        <v>1317.8</v>
      </c>
      <c r="M137" s="9">
        <f>H137-L137</f>
        <v>2733.2</v>
      </c>
      <c r="N137" s="9"/>
      <c r="P137" s="296"/>
    </row>
    <row r="138" spans="2:16" ht="35.1" customHeight="1">
      <c r="B138" s="619" t="s">
        <v>407</v>
      </c>
      <c r="C138" s="620" t="s">
        <v>264</v>
      </c>
      <c r="D138" s="621" t="s">
        <v>253</v>
      </c>
      <c r="E138" s="622">
        <f>4750/2</f>
        <v>2375</v>
      </c>
      <c r="F138" s="623">
        <v>1900</v>
      </c>
      <c r="G138" s="623">
        <v>0</v>
      </c>
      <c r="H138" s="623">
        <f t="shared" si="33"/>
        <v>1900</v>
      </c>
      <c r="I138" s="624">
        <v>18.71</v>
      </c>
      <c r="J138" s="624"/>
      <c r="K138" s="623"/>
      <c r="L138" s="623">
        <f t="shared" si="34"/>
        <v>0</v>
      </c>
      <c r="M138" s="623">
        <f>H138+I138-L138-J138</f>
        <v>1918.71</v>
      </c>
      <c r="N138" s="623"/>
      <c r="P138" s="296"/>
    </row>
    <row r="139" spans="2:16" ht="35.1" customHeight="1">
      <c r="B139" s="20" t="s">
        <v>408</v>
      </c>
      <c r="C139" s="3" t="s">
        <v>639</v>
      </c>
      <c r="D139" s="8" t="s">
        <v>253</v>
      </c>
      <c r="E139" s="364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6"/>
    </row>
    <row r="140" spans="2:16" ht="35.1" customHeight="1">
      <c r="B140" s="20" t="s">
        <v>409</v>
      </c>
      <c r="C140" s="3" t="s">
        <v>263</v>
      </c>
      <c r="D140" s="8" t="s">
        <v>253</v>
      </c>
      <c r="E140" s="364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6"/>
    </row>
    <row r="141" spans="2:16" ht="35.1" customHeight="1">
      <c r="B141" s="20" t="s">
        <v>410</v>
      </c>
      <c r="C141" s="3" t="s">
        <v>625</v>
      </c>
      <c r="D141" s="8" t="s">
        <v>261</v>
      </c>
      <c r="E141" s="364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6"/>
    </row>
    <row r="142" spans="2:16" ht="35.1" customHeight="1">
      <c r="B142" s="20" t="s">
        <v>411</v>
      </c>
      <c r="C142" s="3" t="s">
        <v>262</v>
      </c>
      <c r="D142" s="8" t="s">
        <v>261</v>
      </c>
      <c r="E142" s="364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6"/>
    </row>
    <row r="143" spans="2:16" s="26" customFormat="1" ht="18" customHeight="1" thickBot="1">
      <c r="B143" s="34" t="s">
        <v>9</v>
      </c>
      <c r="C143" s="35"/>
      <c r="D143" s="35"/>
      <c r="E143" s="367"/>
      <c r="F143" s="280">
        <f>SUM(F134:F142)</f>
        <v>32714</v>
      </c>
      <c r="G143" s="280">
        <f t="shared" ref="G143:M143" si="36">SUM(G134:G142)</f>
        <v>0</v>
      </c>
      <c r="H143" s="280">
        <f t="shared" si="36"/>
        <v>32714</v>
      </c>
      <c r="I143" s="280">
        <f t="shared" si="36"/>
        <v>18.71</v>
      </c>
      <c r="J143" s="280">
        <f t="shared" si="36"/>
        <v>1000</v>
      </c>
      <c r="K143" s="280">
        <f t="shared" si="36"/>
        <v>1924.21</v>
      </c>
      <c r="L143" s="280">
        <f t="shared" si="36"/>
        <v>2924.21</v>
      </c>
      <c r="M143" s="280">
        <f t="shared" si="36"/>
        <v>29808.5</v>
      </c>
      <c r="N143" s="53"/>
      <c r="O143" s="293">
        <f>H143+I143-L143-J143</f>
        <v>28808.5</v>
      </c>
      <c r="P143" s="296">
        <f t="shared" ref="P143:P174" si="37">M143-O143</f>
        <v>1000</v>
      </c>
    </row>
    <row r="144" spans="2:16" ht="18" customHeight="1" thickTop="1">
      <c r="B144" s="30"/>
      <c r="E144" s="368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6"/>
    </row>
    <row r="145" spans="2:16" ht="18" customHeight="1">
      <c r="B145" s="47"/>
      <c r="C145" s="48"/>
      <c r="D145" s="48"/>
      <c r="E145" s="371"/>
      <c r="F145" s="48"/>
      <c r="G145" s="48"/>
      <c r="H145" s="48"/>
      <c r="I145" s="48"/>
      <c r="J145" s="48"/>
      <c r="K145" s="48"/>
      <c r="L145" s="48"/>
      <c r="M145" s="48"/>
      <c r="N145" s="33"/>
      <c r="P145" s="296"/>
    </row>
    <row r="146" spans="2:16" ht="18" customHeight="1">
      <c r="E146" s="370"/>
      <c r="P146" s="296"/>
    </row>
    <row r="147" spans="2:16" ht="18" customHeight="1">
      <c r="E147" s="370"/>
      <c r="P147" s="296"/>
    </row>
    <row r="148" spans="2:16" ht="18" customHeight="1">
      <c r="E148" s="370"/>
      <c r="P148" s="296"/>
    </row>
    <row r="149" spans="2:16" ht="18" customHeight="1">
      <c r="B149" s="627" t="s">
        <v>218</v>
      </c>
      <c r="C149" s="628"/>
      <c r="D149" s="628"/>
      <c r="E149" s="628"/>
      <c r="F149" s="628"/>
      <c r="G149" s="628"/>
      <c r="H149" s="628"/>
      <c r="I149" s="628"/>
      <c r="J149" s="628"/>
      <c r="K149" s="628"/>
      <c r="L149" s="628"/>
      <c r="M149" s="628"/>
      <c r="N149" s="629"/>
      <c r="P149" s="296"/>
    </row>
    <row r="150" spans="2:16" ht="18" customHeight="1">
      <c r="B150" s="630" t="s">
        <v>791</v>
      </c>
      <c r="C150" s="631"/>
      <c r="D150" s="631"/>
      <c r="E150" s="631"/>
      <c r="F150" s="631"/>
      <c r="G150" s="631"/>
      <c r="H150" s="631"/>
      <c r="I150" s="631"/>
      <c r="J150" s="631"/>
      <c r="K150" s="631"/>
      <c r="L150" s="631"/>
      <c r="M150" s="631"/>
      <c r="N150" s="632"/>
      <c r="P150" s="296"/>
    </row>
    <row r="151" spans="2:16" ht="18" customHeight="1">
      <c r="B151" s="30"/>
      <c r="C151" s="31" t="s">
        <v>0</v>
      </c>
      <c r="D151" s="31"/>
      <c r="E151" s="366"/>
      <c r="N151" s="32"/>
      <c r="P151" s="296"/>
    </row>
    <row r="152" spans="2:16" ht="30" customHeight="1" thickBot="1">
      <c r="B152" s="454" t="s">
        <v>1</v>
      </c>
      <c r="C152" s="455" t="s">
        <v>2</v>
      </c>
      <c r="D152" s="455"/>
      <c r="E152" s="456"/>
      <c r="F152" s="455" t="s">
        <v>3</v>
      </c>
      <c r="G152" s="457" t="s">
        <v>4</v>
      </c>
      <c r="H152" s="457" t="s">
        <v>5</v>
      </c>
      <c r="I152" s="455" t="s">
        <v>48</v>
      </c>
      <c r="J152" s="455" t="s">
        <v>618</v>
      </c>
      <c r="K152" s="455" t="s">
        <v>47</v>
      </c>
      <c r="L152" s="457" t="s">
        <v>6</v>
      </c>
      <c r="M152" s="458" t="s">
        <v>7</v>
      </c>
      <c r="N152" s="459" t="s">
        <v>29</v>
      </c>
      <c r="P152" s="296"/>
    </row>
    <row r="153" spans="2:16" ht="18" customHeight="1" thickTop="1">
      <c r="B153" s="37" t="s">
        <v>26</v>
      </c>
      <c r="E153" s="368"/>
      <c r="N153" s="32"/>
      <c r="P153" s="296"/>
    </row>
    <row r="154" spans="2:16" ht="30" customHeight="1">
      <c r="B154" s="23" t="s">
        <v>412</v>
      </c>
      <c r="C154" s="3" t="s">
        <v>695</v>
      </c>
      <c r="D154" s="8" t="s">
        <v>267</v>
      </c>
      <c r="E154" s="364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6"/>
    </row>
    <row r="155" spans="2:16" ht="30" customHeight="1">
      <c r="B155" s="23" t="s">
        <v>413</v>
      </c>
      <c r="C155" s="3" t="s">
        <v>641</v>
      </c>
      <c r="D155" s="8" t="s">
        <v>268</v>
      </c>
      <c r="E155" s="364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6"/>
    </row>
    <row r="156" spans="2:16" s="26" customFormat="1" ht="30" customHeight="1" thickBot="1">
      <c r="B156" s="34" t="s">
        <v>9</v>
      </c>
      <c r="C156" s="35"/>
      <c r="D156" s="35"/>
      <c r="E156" s="367"/>
      <c r="F156" s="280">
        <f>SUM(F154:F155)</f>
        <v>8380</v>
      </c>
      <c r="G156" s="280">
        <f t="shared" ref="G156:I156" si="38">SUM(G154:G155)</f>
        <v>0</v>
      </c>
      <c r="H156" s="280">
        <f>SUM(H154:H155)</f>
        <v>8380</v>
      </c>
      <c r="I156" s="280">
        <f t="shared" si="38"/>
        <v>0</v>
      </c>
      <c r="J156" s="280">
        <f>SUM(J154:J155)</f>
        <v>0</v>
      </c>
      <c r="K156" s="280">
        <f>SUM(K154:K155)</f>
        <v>587.39</v>
      </c>
      <c r="L156" s="280">
        <f>SUM(L154:L155)</f>
        <v>587.39</v>
      </c>
      <c r="M156" s="280">
        <f>SUM(M154:M155)</f>
        <v>7792.6100000000006</v>
      </c>
      <c r="N156" s="36"/>
      <c r="O156" s="293">
        <f>H156+I156-L156</f>
        <v>7792.61</v>
      </c>
      <c r="P156" s="296">
        <f t="shared" si="37"/>
        <v>0</v>
      </c>
    </row>
    <row r="157" spans="2:16" ht="18" customHeight="1" thickTop="1">
      <c r="B157" s="30"/>
      <c r="E157" s="368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6"/>
    </row>
    <row r="158" spans="2:16" ht="18" customHeight="1">
      <c r="B158" s="30"/>
      <c r="E158" s="368"/>
      <c r="N158" s="32"/>
      <c r="P158" s="296"/>
    </row>
    <row r="159" spans="2:16" ht="18" customHeight="1">
      <c r="B159" s="37" t="s">
        <v>594</v>
      </c>
      <c r="E159" s="368"/>
      <c r="N159" s="32"/>
      <c r="P159" s="296"/>
    </row>
    <row r="160" spans="2:16" ht="30" customHeight="1">
      <c r="B160" s="23" t="s">
        <v>414</v>
      </c>
      <c r="C160" s="3" t="s">
        <v>671</v>
      </c>
      <c r="D160" s="8" t="s">
        <v>269</v>
      </c>
      <c r="E160" s="364">
        <f>13508/2</f>
        <v>6754</v>
      </c>
      <c r="F160" s="513"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6"/>
    </row>
    <row r="161" spans="2:16" s="26" customFormat="1" ht="30" customHeight="1" thickBot="1">
      <c r="B161" s="34" t="s">
        <v>9</v>
      </c>
      <c r="C161" s="35"/>
      <c r="D161" s="35"/>
      <c r="E161" s="367"/>
      <c r="F161" s="282">
        <f>SUM(F160)</f>
        <v>6754</v>
      </c>
      <c r="G161" s="282">
        <f t="shared" ref="G161:M161" si="39">SUM(G160)</f>
        <v>0</v>
      </c>
      <c r="H161" s="282">
        <f>SUM(H160)</f>
        <v>6754</v>
      </c>
      <c r="I161" s="282">
        <f t="shared" si="39"/>
        <v>0</v>
      </c>
      <c r="J161" s="282">
        <f>SUM(J160)</f>
        <v>0</v>
      </c>
      <c r="K161" s="282">
        <f>SUM(K160)</f>
        <v>795.93</v>
      </c>
      <c r="L161" s="282">
        <f>SUM(L160)</f>
        <v>795.93</v>
      </c>
      <c r="M161" s="282">
        <f t="shared" si="39"/>
        <v>5958.07</v>
      </c>
      <c r="N161" s="46"/>
      <c r="O161" s="296">
        <f>H161+I161-L161</f>
        <v>5958.07</v>
      </c>
      <c r="P161" s="296">
        <f t="shared" si="37"/>
        <v>0</v>
      </c>
    </row>
    <row r="162" spans="2:16" ht="18" customHeight="1" thickTop="1">
      <c r="B162" s="30"/>
      <c r="E162" s="368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6"/>
    </row>
    <row r="163" spans="2:16" ht="18" customHeight="1">
      <c r="B163" s="30"/>
      <c r="E163" s="368"/>
      <c r="F163" s="16"/>
      <c r="G163" s="16"/>
      <c r="H163" s="16"/>
      <c r="I163" s="16"/>
      <c r="J163" s="16"/>
      <c r="K163" s="16"/>
      <c r="L163" s="16"/>
      <c r="M163" s="18"/>
      <c r="N163" s="32"/>
      <c r="P163" s="296"/>
    </row>
    <row r="164" spans="2:16" ht="18" customHeight="1">
      <c r="B164" s="627" t="s">
        <v>218</v>
      </c>
      <c r="C164" s="628"/>
      <c r="D164" s="628"/>
      <c r="E164" s="628"/>
      <c r="F164" s="628"/>
      <c r="G164" s="628"/>
      <c r="H164" s="628"/>
      <c r="I164" s="628"/>
      <c r="J164" s="628"/>
      <c r="K164" s="628"/>
      <c r="L164" s="628"/>
      <c r="M164" s="628"/>
      <c r="N164" s="629"/>
      <c r="P164" s="296"/>
    </row>
    <row r="165" spans="2:16" ht="18" customHeight="1">
      <c r="B165" s="630" t="s">
        <v>795</v>
      </c>
      <c r="C165" s="631"/>
      <c r="D165" s="631"/>
      <c r="E165" s="631"/>
      <c r="F165" s="631"/>
      <c r="G165" s="631"/>
      <c r="H165" s="631"/>
      <c r="I165" s="631"/>
      <c r="J165" s="631"/>
      <c r="K165" s="631"/>
      <c r="L165" s="631"/>
      <c r="M165" s="631"/>
      <c r="N165" s="632"/>
      <c r="P165" s="296"/>
    </row>
    <row r="166" spans="2:16" ht="18" customHeight="1">
      <c r="B166" s="30"/>
      <c r="C166" s="31" t="s">
        <v>0</v>
      </c>
      <c r="D166" s="31"/>
      <c r="E166" s="366"/>
      <c r="N166" s="32"/>
      <c r="P166" s="296"/>
    </row>
    <row r="167" spans="2:16" ht="18" customHeight="1">
      <c r="B167" s="37" t="s">
        <v>635</v>
      </c>
      <c r="E167" s="368"/>
      <c r="N167" s="32"/>
      <c r="P167" s="296"/>
    </row>
    <row r="168" spans="2:16" ht="30" customHeight="1">
      <c r="B168" s="23" t="s">
        <v>415</v>
      </c>
      <c r="C168" s="3" t="s">
        <v>49</v>
      </c>
      <c r="D168" s="8" t="s">
        <v>270</v>
      </c>
      <c r="E168" s="364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564">
        <v>1500</v>
      </c>
      <c r="K168" s="9">
        <v>823.69</v>
      </c>
      <c r="L168" s="9">
        <f>J168+K168</f>
        <v>2323.69</v>
      </c>
      <c r="M168" s="9">
        <f>H168-L168</f>
        <v>4560.3099999999995</v>
      </c>
      <c r="N168" s="33"/>
      <c r="P168" s="296"/>
    </row>
    <row r="169" spans="2:16" s="26" customFormat="1" ht="30" customHeight="1" thickBot="1">
      <c r="B169" s="34" t="s">
        <v>9</v>
      </c>
      <c r="C169" s="35"/>
      <c r="D169" s="35"/>
      <c r="E169" s="372"/>
      <c r="F169" s="280">
        <f>SUM(F168)</f>
        <v>6884</v>
      </c>
      <c r="G169" s="280">
        <f t="shared" ref="G169:I169" si="40">SUM(G168)</f>
        <v>0</v>
      </c>
      <c r="H169" s="280">
        <f>SUM(H168)</f>
        <v>6884</v>
      </c>
      <c r="I169" s="280">
        <f t="shared" si="40"/>
        <v>0</v>
      </c>
      <c r="J169" s="280">
        <f>SUM(J168)</f>
        <v>1500</v>
      </c>
      <c r="K169" s="280">
        <f>SUM(K168)</f>
        <v>823.69</v>
      </c>
      <c r="L169" s="280">
        <f>SUM(L168)</f>
        <v>2323.69</v>
      </c>
      <c r="M169" s="280">
        <f>SUM(M168)</f>
        <v>4560.3099999999995</v>
      </c>
      <c r="N169" s="46"/>
      <c r="O169" s="293">
        <f>H169+I169-L169</f>
        <v>4560.3099999999995</v>
      </c>
      <c r="P169" s="296">
        <f t="shared" si="37"/>
        <v>0</v>
      </c>
    </row>
    <row r="170" spans="2:16" ht="18" customHeight="1" thickTop="1">
      <c r="B170" s="47"/>
      <c r="C170" s="48"/>
      <c r="D170" s="48"/>
      <c r="E170" s="373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6"/>
    </row>
    <row r="171" spans="2:16" ht="18" customHeight="1">
      <c r="P171" s="296"/>
    </row>
    <row r="172" spans="2:16" ht="18" customHeight="1">
      <c r="B172" s="37" t="s">
        <v>595</v>
      </c>
      <c r="E172" s="368"/>
      <c r="N172" s="32"/>
      <c r="P172" s="296"/>
    </row>
    <row r="173" spans="2:16" ht="18" customHeight="1">
      <c r="B173" s="23" t="s">
        <v>416</v>
      </c>
      <c r="C173" s="3" t="s">
        <v>420</v>
      </c>
      <c r="D173" s="8" t="s">
        <v>421</v>
      </c>
      <c r="E173" s="364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6"/>
    </row>
    <row r="174" spans="2:16" ht="18" customHeight="1" thickBot="1">
      <c r="B174" s="34" t="s">
        <v>9</v>
      </c>
      <c r="C174" s="35"/>
      <c r="D174" s="35"/>
      <c r="E174" s="367"/>
      <c r="F174" s="280">
        <f t="shared" ref="F174:I174" si="41">SUM(F173:F173)</f>
        <v>6105</v>
      </c>
      <c r="G174" s="280">
        <f t="shared" si="41"/>
        <v>0</v>
      </c>
      <c r="H174" s="280">
        <f>SUM(H173:H173)</f>
        <v>6105</v>
      </c>
      <c r="I174" s="280">
        <f t="shared" si="41"/>
        <v>0</v>
      </c>
      <c r="J174" s="280">
        <f>SUM(J173)</f>
        <v>0</v>
      </c>
      <c r="K174" s="280">
        <f>SUM(K173:K173)</f>
        <v>657.3</v>
      </c>
      <c r="L174" s="280">
        <f>SUM(L173:L173)</f>
        <v>657.3</v>
      </c>
      <c r="M174" s="280">
        <f>SUM(M173:M173)</f>
        <v>5447.7</v>
      </c>
      <c r="N174" s="46"/>
      <c r="O174" s="292">
        <f>H174+I174-L174</f>
        <v>5447.7</v>
      </c>
      <c r="P174" s="296">
        <f t="shared" si="37"/>
        <v>0</v>
      </c>
    </row>
    <row r="175" spans="2:16" ht="18" customHeight="1" thickTop="1">
      <c r="B175" s="47"/>
      <c r="C175" s="48"/>
      <c r="D175" s="48"/>
      <c r="E175" s="371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6"/>
    </row>
    <row r="176" spans="2:16" ht="18" customHeight="1">
      <c r="B176" s="30"/>
      <c r="C176" s="31" t="s">
        <v>0</v>
      </c>
      <c r="D176" s="31"/>
      <c r="E176" s="366"/>
      <c r="N176" s="32"/>
      <c r="P176" s="296"/>
    </row>
    <row r="177" spans="2:17" ht="27.75" customHeight="1" thickBot="1">
      <c r="B177" s="454" t="s">
        <v>1</v>
      </c>
      <c r="C177" s="455" t="s">
        <v>2</v>
      </c>
      <c r="D177" s="455"/>
      <c r="E177" s="456"/>
      <c r="F177" s="455" t="s">
        <v>3</v>
      </c>
      <c r="G177" s="457" t="s">
        <v>4</v>
      </c>
      <c r="H177" s="457" t="s">
        <v>5</v>
      </c>
      <c r="I177" s="455" t="s">
        <v>48</v>
      </c>
      <c r="J177" s="455" t="s">
        <v>618</v>
      </c>
      <c r="K177" s="455" t="s">
        <v>47</v>
      </c>
      <c r="L177" s="457" t="s">
        <v>6</v>
      </c>
      <c r="M177" s="458" t="s">
        <v>7</v>
      </c>
      <c r="N177" s="459" t="s">
        <v>29</v>
      </c>
      <c r="P177" s="296"/>
    </row>
    <row r="178" spans="2:17" ht="18" customHeight="1" thickTop="1">
      <c r="B178" s="37" t="s">
        <v>596</v>
      </c>
      <c r="E178" s="375"/>
      <c r="N178" s="32"/>
      <c r="P178" s="296"/>
    </row>
    <row r="179" spans="2:17" ht="30" customHeight="1">
      <c r="B179" s="23" t="s">
        <v>417</v>
      </c>
      <c r="C179" s="3" t="s">
        <v>640</v>
      </c>
      <c r="D179" s="8" t="s">
        <v>247</v>
      </c>
      <c r="E179" s="364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6"/>
    </row>
    <row r="180" spans="2:17" s="26" customFormat="1" ht="30" customHeight="1" thickBot="1">
      <c r="B180" s="34" t="s">
        <v>9</v>
      </c>
      <c r="C180" s="35"/>
      <c r="D180" s="35"/>
      <c r="E180" s="372"/>
      <c r="F180" s="283">
        <f>SUM(F179)</f>
        <v>5192</v>
      </c>
      <c r="G180" s="283">
        <f t="shared" ref="G180:I180" si="42">SUM(G179)</f>
        <v>0</v>
      </c>
      <c r="H180" s="283">
        <f>SUM(H179)</f>
        <v>5192</v>
      </c>
      <c r="I180" s="283">
        <f t="shared" si="42"/>
        <v>0</v>
      </c>
      <c r="J180" s="283">
        <f>SUM(J179)</f>
        <v>0</v>
      </c>
      <c r="K180" s="283">
        <f>SUM(K179)</f>
        <v>490.25</v>
      </c>
      <c r="L180" s="283">
        <f>SUM(L179)</f>
        <v>490.25</v>
      </c>
      <c r="M180" s="283">
        <f>SUM(M179)</f>
        <v>4701.75</v>
      </c>
      <c r="N180" s="36"/>
      <c r="O180" s="293">
        <f>H180+I180-L180</f>
        <v>4701.75</v>
      </c>
      <c r="P180" s="296">
        <f t="shared" ref="P180" si="43">M180-O180</f>
        <v>0</v>
      </c>
    </row>
    <row r="181" spans="2:17" ht="18" customHeight="1" thickTop="1">
      <c r="B181" s="30"/>
      <c r="E181" s="375"/>
      <c r="F181" s="16"/>
      <c r="G181" s="16"/>
      <c r="H181" s="16"/>
      <c r="I181" s="16"/>
      <c r="J181" s="16"/>
      <c r="K181" s="16"/>
      <c r="L181" s="16"/>
      <c r="M181" s="16"/>
      <c r="N181" s="32"/>
      <c r="P181" s="296"/>
    </row>
    <row r="182" spans="2:17" ht="18" customHeight="1">
      <c r="B182" s="30"/>
      <c r="C182" s="31" t="s">
        <v>0</v>
      </c>
      <c r="D182" s="31"/>
      <c r="E182" s="366"/>
      <c r="N182" s="32"/>
      <c r="P182" s="296"/>
    </row>
    <row r="183" spans="2:17" ht="18" customHeight="1" thickBot="1">
      <c r="B183" s="454" t="s">
        <v>1</v>
      </c>
      <c r="C183" s="455" t="s">
        <v>2</v>
      </c>
      <c r="D183" s="455"/>
      <c r="E183" s="456"/>
      <c r="F183" s="455" t="s">
        <v>3</v>
      </c>
      <c r="G183" s="457" t="s">
        <v>4</v>
      </c>
      <c r="H183" s="457" t="s">
        <v>5</v>
      </c>
      <c r="I183" s="455" t="s">
        <v>48</v>
      </c>
      <c r="J183" s="455" t="s">
        <v>618</v>
      </c>
      <c r="K183" s="455" t="s">
        <v>47</v>
      </c>
      <c r="L183" s="457" t="s">
        <v>6</v>
      </c>
      <c r="M183" s="458" t="s">
        <v>7</v>
      </c>
      <c r="N183" s="459" t="s">
        <v>29</v>
      </c>
      <c r="P183" s="296"/>
    </row>
    <row r="184" spans="2:17" s="26" customFormat="1" ht="18.75" customHeight="1" thickTop="1">
      <c r="B184" s="37" t="s">
        <v>597</v>
      </c>
      <c r="C184" s="19"/>
      <c r="D184" s="19"/>
      <c r="E184" s="375"/>
      <c r="F184" s="19"/>
      <c r="G184" s="19"/>
      <c r="H184" s="19"/>
      <c r="I184" s="19"/>
      <c r="J184" s="19"/>
      <c r="K184" s="19"/>
      <c r="L184" s="19"/>
      <c r="M184" s="19"/>
      <c r="N184" s="46"/>
      <c r="P184" s="296"/>
    </row>
    <row r="185" spans="2:17" s="26" customFormat="1" ht="18.75" customHeight="1">
      <c r="B185" s="23" t="s">
        <v>418</v>
      </c>
      <c r="C185" s="238" t="s">
        <v>475</v>
      </c>
      <c r="D185" s="8" t="s">
        <v>589</v>
      </c>
      <c r="E185" s="376">
        <f>12210/2</f>
        <v>6105</v>
      </c>
      <c r="F185" s="513">
        <v>6738</v>
      </c>
      <c r="G185" s="27">
        <v>0</v>
      </c>
      <c r="H185" s="27">
        <f>F185</f>
        <v>6738</v>
      </c>
      <c r="I185" s="27"/>
      <c r="J185" s="563">
        <v>500</v>
      </c>
      <c r="K185" s="27">
        <v>792.51</v>
      </c>
      <c r="L185" s="27">
        <f>J185+K185</f>
        <v>1292.51</v>
      </c>
      <c r="M185" s="27">
        <f>H185-L185</f>
        <v>5445.49</v>
      </c>
      <c r="N185" s="46"/>
      <c r="P185" s="296"/>
    </row>
    <row r="186" spans="2:17" s="26" customFormat="1" ht="18.75" customHeight="1">
      <c r="B186" s="37"/>
      <c r="C186" s="19"/>
      <c r="D186" s="19"/>
      <c r="E186" s="375"/>
      <c r="F186" s="291">
        <f>F185</f>
        <v>6738</v>
      </c>
      <c r="G186" s="314">
        <f>SUM(G185)</f>
        <v>0</v>
      </c>
      <c r="H186" s="291">
        <f>SUM(H185)</f>
        <v>6738</v>
      </c>
      <c r="I186" s="291">
        <f t="shared" ref="I186:L186" si="44">SUM(I185)</f>
        <v>0</v>
      </c>
      <c r="J186" s="291">
        <f>SUM(J185)</f>
        <v>500</v>
      </c>
      <c r="K186" s="291">
        <f>SUM(K185)</f>
        <v>792.51</v>
      </c>
      <c r="L186" s="291">
        <f t="shared" si="44"/>
        <v>1292.51</v>
      </c>
      <c r="M186" s="291">
        <f>M185</f>
        <v>5445.49</v>
      </c>
      <c r="N186" s="46"/>
      <c r="O186" s="296">
        <f>H186+I186-L186</f>
        <v>5445.49</v>
      </c>
      <c r="P186" s="296">
        <f>M186-O186</f>
        <v>0</v>
      </c>
      <c r="Q186" s="296"/>
    </row>
    <row r="187" spans="2:17" s="26" customFormat="1" ht="18.75" customHeight="1">
      <c r="B187" s="30"/>
      <c r="C187" s="31" t="s">
        <v>0</v>
      </c>
      <c r="D187" s="31"/>
      <c r="E187" s="366"/>
      <c r="F187" s="19"/>
      <c r="G187" s="19"/>
      <c r="H187" s="19"/>
      <c r="I187" s="19"/>
      <c r="J187" s="19"/>
      <c r="K187" s="19"/>
      <c r="L187" s="19"/>
      <c r="M187" s="19"/>
      <c r="N187" s="32"/>
      <c r="O187" s="296"/>
      <c r="P187" s="296"/>
      <c r="Q187" s="296"/>
    </row>
    <row r="188" spans="2:17" s="26" customFormat="1" ht="21.75" customHeight="1" thickBot="1">
      <c r="B188" s="454" t="s">
        <v>1</v>
      </c>
      <c r="C188" s="455" t="s">
        <v>2</v>
      </c>
      <c r="D188" s="455"/>
      <c r="E188" s="456"/>
      <c r="F188" s="455" t="s">
        <v>3</v>
      </c>
      <c r="G188" s="457" t="s">
        <v>4</v>
      </c>
      <c r="H188" s="457" t="s">
        <v>5</v>
      </c>
      <c r="I188" s="455" t="s">
        <v>48</v>
      </c>
      <c r="J188" s="455" t="s">
        <v>618</v>
      </c>
      <c r="K188" s="455" t="s">
        <v>47</v>
      </c>
      <c r="L188" s="457" t="s">
        <v>6</v>
      </c>
      <c r="M188" s="458" t="s">
        <v>7</v>
      </c>
      <c r="N188" s="459" t="s">
        <v>29</v>
      </c>
      <c r="O188" s="296"/>
      <c r="P188" s="296"/>
      <c r="Q188" s="296"/>
    </row>
    <row r="189" spans="2:17" s="26" customFormat="1" ht="18.75" customHeight="1" thickTop="1">
      <c r="B189" s="643" t="s">
        <v>609</v>
      </c>
      <c r="C189" s="644"/>
      <c r="D189" s="308"/>
      <c r="E189" s="377"/>
      <c r="F189" s="308"/>
      <c r="G189" s="309"/>
      <c r="H189" s="309"/>
      <c r="I189" s="308"/>
      <c r="J189" s="308"/>
      <c r="K189" s="308"/>
      <c r="L189" s="309"/>
      <c r="M189" s="310"/>
      <c r="N189" s="311"/>
      <c r="O189" s="296"/>
      <c r="P189" s="296"/>
      <c r="Q189" s="296"/>
    </row>
    <row r="190" spans="2:17" s="26" customFormat="1" ht="18.75" customHeight="1">
      <c r="B190" s="23" t="s">
        <v>419</v>
      </c>
      <c r="C190" s="277" t="s">
        <v>620</v>
      </c>
      <c r="D190" s="315" t="s">
        <v>203</v>
      </c>
      <c r="E190" s="378">
        <f>10384/2</f>
        <v>5192</v>
      </c>
      <c r="F190" s="312">
        <f>E190</f>
        <v>5192</v>
      </c>
      <c r="G190" s="3">
        <v>0</v>
      </c>
      <c r="H190" s="312">
        <f>F190</f>
        <v>5192</v>
      </c>
      <c r="I190" s="3"/>
      <c r="J190" s="3"/>
      <c r="K190" s="3">
        <v>490.25</v>
      </c>
      <c r="L190" s="3">
        <f>K190</f>
        <v>490.25</v>
      </c>
      <c r="M190" s="312">
        <f>F190-L190-J190</f>
        <v>4701.75</v>
      </c>
      <c r="N190" s="313"/>
    </row>
    <row r="191" spans="2:17" s="26" customFormat="1" ht="18.75" customHeight="1">
      <c r="B191" s="37"/>
      <c r="C191"/>
      <c r="D191"/>
      <c r="E191" s="379"/>
      <c r="F191" s="314">
        <f>F190</f>
        <v>5192</v>
      </c>
      <c r="G191" s="290">
        <f>SUM(G190)</f>
        <v>0</v>
      </c>
      <c r="H191" s="314">
        <f>H190</f>
        <v>5192</v>
      </c>
      <c r="I191" s="290"/>
      <c r="J191" s="320">
        <f>SUM(J190)</f>
        <v>0</v>
      </c>
      <c r="K191" s="290">
        <f>K190</f>
        <v>490.25</v>
      </c>
      <c r="L191" s="290">
        <f>L190</f>
        <v>490.25</v>
      </c>
      <c r="M191" s="314">
        <f>M190</f>
        <v>4701.75</v>
      </c>
      <c r="N191" s="46"/>
      <c r="O191" s="296">
        <f>M191</f>
        <v>4701.75</v>
      </c>
    </row>
    <row r="192" spans="2:17" s="26" customFormat="1" ht="18.75" customHeight="1">
      <c r="B192" s="37"/>
      <c r="C192"/>
      <c r="D192"/>
      <c r="E192" s="379"/>
      <c r="F192" s="289"/>
      <c r="G192" s="19"/>
      <c r="H192" s="289"/>
      <c r="I192" s="19"/>
      <c r="J192" s="553"/>
      <c r="K192" s="19"/>
      <c r="L192" s="19"/>
      <c r="M192" s="289"/>
      <c r="N192" s="46"/>
      <c r="O192" s="296"/>
    </row>
    <row r="193" spans="1:15" s="26" customFormat="1" ht="18.75" customHeight="1">
      <c r="B193" s="30"/>
      <c r="C193" s="31" t="s">
        <v>0</v>
      </c>
      <c r="D193" s="31"/>
      <c r="E193" s="366"/>
      <c r="F193" s="19"/>
      <c r="G193" s="19"/>
      <c r="H193" s="19"/>
      <c r="I193" s="19"/>
      <c r="J193" s="19"/>
      <c r="K193" s="19"/>
      <c r="L193" s="19"/>
      <c r="M193" s="19"/>
      <c r="N193" s="32"/>
      <c r="O193" s="296"/>
    </row>
    <row r="194" spans="1:15" s="26" customFormat="1" ht="18.75" customHeight="1" thickBot="1">
      <c r="B194" s="454" t="s">
        <v>1</v>
      </c>
      <c r="C194" s="455" t="s">
        <v>2</v>
      </c>
      <c r="D194" s="455"/>
      <c r="E194" s="456"/>
      <c r="F194" s="455" t="s">
        <v>3</v>
      </c>
      <c r="G194" s="457" t="s">
        <v>4</v>
      </c>
      <c r="H194" s="457" t="s">
        <v>5</v>
      </c>
      <c r="I194" s="455" t="s">
        <v>48</v>
      </c>
      <c r="J194" s="455" t="s">
        <v>618</v>
      </c>
      <c r="K194" s="455" t="s">
        <v>47</v>
      </c>
      <c r="L194" s="457" t="s">
        <v>6</v>
      </c>
      <c r="M194" s="458" t="s">
        <v>7</v>
      </c>
      <c r="N194" s="459" t="s">
        <v>29</v>
      </c>
      <c r="O194" s="296"/>
    </row>
    <row r="195" spans="1:15" s="26" customFormat="1" ht="18.75" customHeight="1" thickTop="1">
      <c r="B195" s="643" t="s">
        <v>715</v>
      </c>
      <c r="C195" s="644"/>
      <c r="D195" s="308"/>
      <c r="E195" s="377"/>
      <c r="F195" s="308"/>
      <c r="G195" s="309"/>
      <c r="H195" s="309"/>
      <c r="I195" s="308"/>
      <c r="J195" s="308"/>
      <c r="K195" s="308"/>
      <c r="L195" s="309"/>
      <c r="M195" s="310"/>
      <c r="N195" s="311"/>
      <c r="O195" s="296"/>
    </row>
    <row r="196" spans="1:15" s="26" customFormat="1" ht="18.75" customHeight="1">
      <c r="B196" s="23" t="s">
        <v>716</v>
      </c>
      <c r="C196" s="277" t="s">
        <v>717</v>
      </c>
      <c r="D196" s="315" t="s">
        <v>203</v>
      </c>
      <c r="E196" s="378">
        <f>10384/2</f>
        <v>5192</v>
      </c>
      <c r="F196" s="312">
        <v>7002</v>
      </c>
      <c r="G196" s="3">
        <v>0</v>
      </c>
      <c r="H196" s="312">
        <f>F196</f>
        <v>7002</v>
      </c>
      <c r="I196" s="3"/>
      <c r="J196" s="3"/>
      <c r="K196" s="3">
        <v>848.9</v>
      </c>
      <c r="L196" s="3">
        <f>K196</f>
        <v>848.9</v>
      </c>
      <c r="M196" s="312">
        <f>F196-L196-J196</f>
        <v>6153.1</v>
      </c>
      <c r="N196" s="313"/>
      <c r="O196" s="296"/>
    </row>
    <row r="197" spans="1:15" s="26" customFormat="1" ht="18.75" customHeight="1">
      <c r="B197" s="37"/>
      <c r="C197"/>
      <c r="D197"/>
      <c r="E197" s="379"/>
      <c r="F197" s="314">
        <f>F196</f>
        <v>7002</v>
      </c>
      <c r="G197" s="290">
        <f>SUM(G196)</f>
        <v>0</v>
      </c>
      <c r="H197" s="314">
        <f>H196</f>
        <v>7002</v>
      </c>
      <c r="I197" s="290"/>
      <c r="J197" s="320">
        <f>SUM(J196)</f>
        <v>0</v>
      </c>
      <c r="K197" s="290">
        <f>K196</f>
        <v>848.9</v>
      </c>
      <c r="L197" s="290">
        <f>L196</f>
        <v>848.9</v>
      </c>
      <c r="M197" s="314">
        <f>M196</f>
        <v>6153.1</v>
      </c>
      <c r="N197" s="46"/>
      <c r="O197" s="296"/>
    </row>
    <row r="198" spans="1:15" s="26" customFormat="1" ht="18.75" customHeight="1">
      <c r="B198" s="37"/>
      <c r="C198"/>
      <c r="D198"/>
      <c r="E198" s="379"/>
      <c r="F198" s="289"/>
      <c r="G198" s="19"/>
      <c r="H198" s="289"/>
      <c r="I198" s="19"/>
      <c r="J198" s="553"/>
      <c r="K198" s="19"/>
      <c r="L198" s="19"/>
      <c r="M198" s="289"/>
      <c r="N198" s="46"/>
      <c r="O198" s="296"/>
    </row>
    <row r="199" spans="1:15" ht="30" customHeight="1" thickBot="1">
      <c r="B199" s="645" t="s">
        <v>27</v>
      </c>
      <c r="C199" s="646"/>
      <c r="D199" s="55"/>
      <c r="E199" s="380"/>
      <c r="F199" s="56">
        <f>F9+F14+F18+F24+F34+F39+F47+F53+F63+F70+F75+F93+F98+F104+F117+F123+F143+F156+F161+F169+F174+F180+F186+F191+F197</f>
        <v>296012.79999999999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296012.79999999999</v>
      </c>
      <c r="I199" s="56">
        <f>I9+I14+I18+I24+I34+I39+I47+I53+I63+I70+I75+I93+I98+I104+I117+I123+I143+I156+I161+I169+I174+I180+I186+I191+I197</f>
        <v>99.16</v>
      </c>
      <c r="J199" s="56">
        <f>J191+J186+J180+J174+J169+J161+J156+J143+J123+J117+J104+J98+J93+J75+J70+J63+J53+J47+J39+J34+J24+J18+J14+J9+J197</f>
        <v>5000</v>
      </c>
      <c r="K199" s="56">
        <f>K9+K14+K18+K24+K34+K39+K47+K53+K63+K70+K75+K93+K98+K104+K117+K123+K143+K156+K161+K169+K174+K180+K186+K191+K197</f>
        <v>30282.779999999995</v>
      </c>
      <c r="L199" s="56">
        <f>L9+L14+L18+L24+L34+L39+L47+L53+L63+L70+L75+L93+L98+L104+L117+L123+L143+L156+L161+L169+L174+L180+L186+L191+L197</f>
        <v>35282.78</v>
      </c>
      <c r="M199" s="233">
        <f>M9+M14+M18+M24+M34+M39+M47+M53+M63+M70+M75+M93+M98+M104+M117+M123+M143+M156+M161+M169+M174+M180+M186+M191+M197</f>
        <v>260829.18000000002</v>
      </c>
      <c r="N199" s="32"/>
    </row>
    <row r="200" spans="1:15" ht="12" thickTop="1">
      <c r="B200" s="30"/>
      <c r="E200" s="375"/>
      <c r="M200" s="234"/>
      <c r="N200" s="32"/>
    </row>
    <row r="201" spans="1:15">
      <c r="E201" s="375"/>
      <c r="N201" s="32"/>
    </row>
    <row r="202" spans="1:15">
      <c r="A202" s="32"/>
      <c r="C202" s="48"/>
      <c r="E202" s="375"/>
      <c r="F202" s="48" t="s">
        <v>28</v>
      </c>
      <c r="G202" s="48" t="s">
        <v>28</v>
      </c>
      <c r="H202" s="48"/>
      <c r="K202" s="19" t="s">
        <v>28</v>
      </c>
      <c r="L202" s="48" t="s">
        <v>28</v>
      </c>
      <c r="M202" s="48" t="s">
        <v>28</v>
      </c>
      <c r="N202" s="32"/>
    </row>
    <row r="203" spans="1:15" ht="12.75">
      <c r="B203" s="637" t="s">
        <v>461</v>
      </c>
      <c r="C203" s="638"/>
      <c r="D203" s="57"/>
      <c r="E203" s="381"/>
      <c r="F203" s="647" t="s">
        <v>45</v>
      </c>
      <c r="G203" s="647"/>
      <c r="H203" s="647"/>
      <c r="I203" s="166"/>
      <c r="J203" s="166"/>
      <c r="K203" s="59"/>
      <c r="L203" s="638" t="s">
        <v>628</v>
      </c>
      <c r="M203" s="638"/>
      <c r="N203" s="32"/>
    </row>
    <row r="204" spans="1:15">
      <c r="B204" s="639" t="s">
        <v>464</v>
      </c>
      <c r="C204" s="640"/>
      <c r="D204" s="60"/>
      <c r="E204" s="382"/>
      <c r="F204" s="640" t="s">
        <v>464</v>
      </c>
      <c r="G204" s="640"/>
      <c r="H204" s="640"/>
      <c r="I204" s="48"/>
      <c r="J204" s="60"/>
      <c r="K204" s="48"/>
      <c r="L204" s="640" t="s">
        <v>463</v>
      </c>
      <c r="M204" s="640"/>
      <c r="N204" s="33"/>
    </row>
    <row r="208" spans="1:15">
      <c r="C208" s="354"/>
    </row>
    <row r="209" spans="6:15">
      <c r="F209" s="289">
        <f>SUM(F186+F180+F174+F169+F161+F156+F143+F123+F104+F98+F117+F93+F75+F70+F63+F53+F47+F39+F34+F24+F18+F14+F9+F191+F197)</f>
        <v>296012.79999999999</v>
      </c>
      <c r="K209" s="292">
        <f>H199+I199-L199</f>
        <v>260829.17999999996</v>
      </c>
      <c r="L209" s="292"/>
      <c r="M209" s="16">
        <f>F199+I199-K199-J199</f>
        <v>260829.18</v>
      </c>
      <c r="O209" s="303">
        <f>SUM(O7:O204)</f>
        <v>253176.08</v>
      </c>
    </row>
    <row r="210" spans="6:15">
      <c r="F210" s="608">
        <f>F199-H199</f>
        <v>0</v>
      </c>
      <c r="K210" s="608">
        <f>M199-K209</f>
        <v>0</v>
      </c>
      <c r="M210" s="609">
        <f>M199-M209</f>
        <v>0</v>
      </c>
    </row>
    <row r="211" spans="6:15">
      <c r="H211" s="289"/>
      <c r="M211" s="321">
        <f>SUM(M209:M210)</f>
        <v>260829.18</v>
      </c>
    </row>
    <row r="212" spans="6:15">
      <c r="M212" s="292"/>
    </row>
    <row r="213" spans="6:15">
      <c r="M213" s="292"/>
    </row>
  </sheetData>
  <mergeCells count="27">
    <mergeCell ref="B130:N130"/>
    <mergeCell ref="B149:N149"/>
    <mergeCell ref="L204:M204"/>
    <mergeCell ref="B189:C189"/>
    <mergeCell ref="L203:M203"/>
    <mergeCell ref="B164:N164"/>
    <mergeCell ref="B165:N165"/>
    <mergeCell ref="B199:C199"/>
    <mergeCell ref="F204:H204"/>
    <mergeCell ref="F203:H203"/>
    <mergeCell ref="B195:C195"/>
    <mergeCell ref="C1:I1"/>
    <mergeCell ref="B203:C203"/>
    <mergeCell ref="B204:C204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5"/>
  <sheetViews>
    <sheetView tabSelected="1" topLeftCell="A32" zoomScale="98" zoomScaleNormal="98" workbookViewId="0">
      <selection activeCell="L35" sqref="L35"/>
    </sheetView>
  </sheetViews>
  <sheetFormatPr baseColWidth="10" defaultRowHeight="11.25"/>
  <cols>
    <col min="1" max="1" width="8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8" width="25.85546875" style="120" customWidth="1"/>
    <col min="19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54" t="s">
        <v>218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6"/>
    </row>
    <row r="4" spans="2:22" ht="17.25">
      <c r="B4" s="657" t="s">
        <v>797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9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4" t="s">
        <v>157</v>
      </c>
      <c r="C8" s="515">
        <v>0</v>
      </c>
      <c r="D8" s="515"/>
      <c r="E8" s="515"/>
      <c r="F8" s="515"/>
      <c r="G8" s="516" t="s">
        <v>28</v>
      </c>
      <c r="H8" s="515"/>
      <c r="I8" s="649" t="s">
        <v>60</v>
      </c>
      <c r="J8" s="650"/>
      <c r="K8" s="651"/>
      <c r="L8" s="517"/>
      <c r="M8" s="517"/>
      <c r="N8" s="649" t="s">
        <v>61</v>
      </c>
      <c r="O8" s="652"/>
      <c r="P8" s="517"/>
      <c r="Q8" s="660" t="s">
        <v>217</v>
      </c>
    </row>
    <row r="9" spans="2:22" s="125" customFormat="1" ht="12.75" customHeight="1">
      <c r="B9" s="487" t="s">
        <v>158</v>
      </c>
      <c r="C9" s="653" t="s">
        <v>52</v>
      </c>
      <c r="D9" s="653"/>
      <c r="E9" s="653"/>
      <c r="F9" s="488"/>
      <c r="G9" s="489"/>
      <c r="H9" s="491" t="s">
        <v>63</v>
      </c>
      <c r="I9" s="518" t="s">
        <v>3</v>
      </c>
      <c r="J9" s="519" t="s">
        <v>65</v>
      </c>
      <c r="K9" s="520" t="s">
        <v>159</v>
      </c>
      <c r="L9" s="519" t="s">
        <v>67</v>
      </c>
      <c r="M9" s="521" t="s">
        <v>618</v>
      </c>
      <c r="N9" s="522"/>
      <c r="O9" s="523" t="s">
        <v>159</v>
      </c>
      <c r="P9" s="524" t="s">
        <v>160</v>
      </c>
      <c r="Q9" s="661"/>
      <c r="R9" s="332" t="s">
        <v>632</v>
      </c>
      <c r="S9" s="332" t="s">
        <v>633</v>
      </c>
    </row>
    <row r="10" spans="2:22" s="125" customFormat="1" ht="14.25">
      <c r="B10" s="496" t="s">
        <v>161</v>
      </c>
      <c r="C10" s="525" t="s">
        <v>53</v>
      </c>
      <c r="D10" s="526" t="s">
        <v>54</v>
      </c>
      <c r="E10" s="526" t="s">
        <v>55</v>
      </c>
      <c r="F10" s="526" t="s">
        <v>56</v>
      </c>
      <c r="G10" s="527"/>
      <c r="H10" s="526" t="s">
        <v>162</v>
      </c>
      <c r="I10" s="528" t="s">
        <v>163</v>
      </c>
      <c r="J10" s="529" t="s">
        <v>200</v>
      </c>
      <c r="K10" s="530" t="s">
        <v>165</v>
      </c>
      <c r="L10" s="529" t="s">
        <v>166</v>
      </c>
      <c r="M10" s="529"/>
      <c r="N10" s="526" t="s">
        <v>75</v>
      </c>
      <c r="O10" s="526" t="s">
        <v>167</v>
      </c>
      <c r="P10" s="531" t="s">
        <v>168</v>
      </c>
      <c r="Q10" s="662"/>
    </row>
    <row r="11" spans="2:22">
      <c r="B11" s="126" t="s">
        <v>201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202</v>
      </c>
      <c r="F12" s="3" t="s">
        <v>203</v>
      </c>
      <c r="G12" s="383">
        <f>20530/2</f>
        <v>10265</v>
      </c>
      <c r="H12" s="93">
        <v>15</v>
      </c>
      <c r="I12" s="91">
        <f t="shared" ref="I12:I27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204</v>
      </c>
      <c r="F13" s="3" t="s">
        <v>205</v>
      </c>
      <c r="G13" s="383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7" si="1">(I13+J13)</f>
        <v>6368</v>
      </c>
      <c r="L13" s="91">
        <v>0</v>
      </c>
      <c r="M13" s="91"/>
      <c r="N13" s="91">
        <v>713.48</v>
      </c>
      <c r="O13" s="91">
        <f t="shared" ref="O13:O37" si="2">N13</f>
        <v>713.48</v>
      </c>
      <c r="P13" s="128">
        <f>K13+L13-O13-M13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 t="shared" ref="B14:B37" si="3">B13+1</f>
        <v>3</v>
      </c>
      <c r="C14" s="89"/>
      <c r="D14" s="89"/>
      <c r="E14" s="80" t="s">
        <v>206</v>
      </c>
      <c r="F14" s="3" t="s">
        <v>205</v>
      </c>
      <c r="G14" s="383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7" si="4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si="3"/>
        <v>4</v>
      </c>
      <c r="C15" s="89"/>
      <c r="D15" s="89"/>
      <c r="E15" s="80" t="s">
        <v>208</v>
      </c>
      <c r="F15" s="3" t="s">
        <v>209</v>
      </c>
      <c r="G15" s="383">
        <f t="shared" ref="G15:G23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4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3"/>
        <v>5</v>
      </c>
      <c r="C16" s="89"/>
      <c r="D16" s="89"/>
      <c r="E16" s="80" t="s">
        <v>211</v>
      </c>
      <c r="F16" s="3" t="s">
        <v>209</v>
      </c>
      <c r="G16" s="383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4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f t="shared" si="3"/>
        <v>6</v>
      </c>
      <c r="C17" s="80"/>
      <c r="D17" s="80"/>
      <c r="E17" s="144" t="s">
        <v>212</v>
      </c>
      <c r="F17" s="133" t="s">
        <v>209</v>
      </c>
      <c r="G17" s="384">
        <f t="shared" si="5"/>
        <v>4621</v>
      </c>
      <c r="H17" s="134">
        <v>15</v>
      </c>
      <c r="I17" s="82"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4"/>
        <v>4225.5</v>
      </c>
      <c r="Q17" s="135"/>
      <c r="R17" s="130"/>
      <c r="S17" s="130"/>
      <c r="T17" s="271">
        <v>10</v>
      </c>
      <c r="U17" s="271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3"/>
        <v>7</v>
      </c>
      <c r="C18" s="89"/>
      <c r="D18" s="89"/>
      <c r="E18" s="80" t="s">
        <v>88</v>
      </c>
      <c r="F18" s="3" t="s">
        <v>209</v>
      </c>
      <c r="G18" s="383">
        <f t="shared" si="5"/>
        <v>4621</v>
      </c>
      <c r="H18" s="93">
        <v>15</v>
      </c>
      <c r="I18" s="91">
        <v>4621</v>
      </c>
      <c r="J18" s="91"/>
      <c r="K18" s="91">
        <f t="shared" si="1"/>
        <v>4621</v>
      </c>
      <c r="L18" s="91">
        <v>0</v>
      </c>
      <c r="M18" s="91"/>
      <c r="N18" s="91">
        <v>395.5</v>
      </c>
      <c r="O18" s="91">
        <f t="shared" si="2"/>
        <v>395.5</v>
      </c>
      <c r="P18" s="128">
        <f t="shared" si="4"/>
        <v>4225.5</v>
      </c>
      <c r="Q18" s="129"/>
      <c r="R18" s="130"/>
      <c r="S18" s="130"/>
      <c r="T18" s="130"/>
      <c r="U18" s="130"/>
      <c r="V18" s="131"/>
    </row>
    <row r="19" spans="2:22" s="132" customFormat="1" ht="30" customHeight="1">
      <c r="B19" s="89">
        <f t="shared" si="3"/>
        <v>8</v>
      </c>
      <c r="C19" s="89"/>
      <c r="D19" s="89"/>
      <c r="E19" s="80" t="s">
        <v>599</v>
      </c>
      <c r="F19" s="3" t="s">
        <v>209</v>
      </c>
      <c r="G19" s="383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4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3"/>
        <v>9</v>
      </c>
      <c r="C20" s="89"/>
      <c r="D20" s="89"/>
      <c r="E20" s="80" t="s">
        <v>213</v>
      </c>
      <c r="F20" s="3" t="s">
        <v>209</v>
      </c>
      <c r="G20" s="383">
        <f t="shared" si="5"/>
        <v>4621</v>
      </c>
      <c r="H20" s="93">
        <v>15</v>
      </c>
      <c r="I20" s="91">
        <f t="shared" si="0"/>
        <v>4621</v>
      </c>
      <c r="J20" s="136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4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3"/>
        <v>10</v>
      </c>
      <c r="C21" s="89"/>
      <c r="D21" s="89"/>
      <c r="E21" s="80" t="s">
        <v>214</v>
      </c>
      <c r="F21" s="3" t="s">
        <v>209</v>
      </c>
      <c r="G21" s="383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4"/>
        <v>4225.5</v>
      </c>
      <c r="Q21" s="129"/>
      <c r="R21" s="130"/>
      <c r="S21" s="130"/>
      <c r="T21" s="271">
        <v>10</v>
      </c>
      <c r="U21" s="272">
        <f>I21/15*T21</f>
        <v>3080.6666666666665</v>
      </c>
      <c r="V21" s="131">
        <f>U21</f>
        <v>3080.6666666666665</v>
      </c>
    </row>
    <row r="22" spans="2:22" s="132" customFormat="1" ht="30" customHeight="1">
      <c r="B22" s="89">
        <f t="shared" si="3"/>
        <v>11</v>
      </c>
      <c r="C22" s="89"/>
      <c r="D22" s="89"/>
      <c r="E22" s="80" t="s">
        <v>215</v>
      </c>
      <c r="F22" s="3" t="s">
        <v>209</v>
      </c>
      <c r="G22" s="383">
        <f t="shared" si="5"/>
        <v>4621</v>
      </c>
      <c r="H22" s="93">
        <v>15</v>
      </c>
      <c r="I22" s="91">
        <f t="shared" si="0"/>
        <v>4621</v>
      </c>
      <c r="J22" s="91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4"/>
        <v>4225.5</v>
      </c>
      <c r="Q22" s="129"/>
      <c r="T22" s="130"/>
      <c r="U22" s="130"/>
      <c r="V22" s="131"/>
    </row>
    <row r="23" spans="2:22" s="132" customFormat="1" ht="30" customHeight="1">
      <c r="B23" s="89">
        <f t="shared" si="3"/>
        <v>12</v>
      </c>
      <c r="C23" s="89"/>
      <c r="D23" s="89"/>
      <c r="E23" s="144" t="s">
        <v>286</v>
      </c>
      <c r="F23" s="3" t="s">
        <v>209</v>
      </c>
      <c r="G23" s="383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4"/>
        <v>4225.5</v>
      </c>
      <c r="Q23" s="129"/>
      <c r="T23" s="130" t="s">
        <v>287</v>
      </c>
      <c r="U23" s="130"/>
      <c r="V23" s="131"/>
    </row>
    <row r="24" spans="2:22" s="132" customFormat="1" ht="30" customHeight="1">
      <c r="B24" s="89">
        <f t="shared" si="3"/>
        <v>13</v>
      </c>
      <c r="C24" s="89"/>
      <c r="D24" s="89"/>
      <c r="E24" s="549" t="s">
        <v>694</v>
      </c>
      <c r="F24" s="3" t="s">
        <v>209</v>
      </c>
      <c r="G24" s="383">
        <f>9242/2</f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>K24-O24</f>
        <v>4225.5</v>
      </c>
      <c r="Q24" s="129"/>
      <c r="T24" s="130"/>
      <c r="U24" s="130"/>
      <c r="V24" s="131"/>
    </row>
    <row r="25" spans="2:22" s="132" customFormat="1" ht="30" customHeight="1">
      <c r="B25" s="89">
        <f t="shared" si="3"/>
        <v>14</v>
      </c>
      <c r="C25" s="89"/>
      <c r="D25" s="89"/>
      <c r="E25" s="549" t="s">
        <v>688</v>
      </c>
      <c r="F25" s="3" t="s">
        <v>209</v>
      </c>
      <c r="G25" s="383"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 t="shared" si="4"/>
        <v>4225.5</v>
      </c>
      <c r="Q25" s="129"/>
      <c r="R25" s="132" t="s">
        <v>689</v>
      </c>
      <c r="S25" s="132" t="s">
        <v>722</v>
      </c>
      <c r="T25" s="130"/>
      <c r="U25" s="130"/>
      <c r="V25" s="131"/>
    </row>
    <row r="26" spans="2:22" s="132" customFormat="1" ht="30" customHeight="1">
      <c r="B26" s="89">
        <f t="shared" si="3"/>
        <v>15</v>
      </c>
      <c r="C26" s="89"/>
      <c r="D26" s="89"/>
      <c r="E26" s="80" t="s">
        <v>285</v>
      </c>
      <c r="F26" s="3" t="s">
        <v>134</v>
      </c>
      <c r="G26" s="383">
        <f>9242/2</f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>4225.5-M26</f>
        <v>4225.5</v>
      </c>
      <c r="Q26" s="129"/>
      <c r="T26" s="130"/>
      <c r="U26" s="130"/>
      <c r="V26" s="131"/>
    </row>
    <row r="27" spans="2:22" s="132" customFormat="1" ht="30" customHeight="1">
      <c r="B27" s="89">
        <f t="shared" si="3"/>
        <v>16</v>
      </c>
      <c r="C27" s="89"/>
      <c r="D27" s="89"/>
      <c r="E27" s="89" t="s">
        <v>291</v>
      </c>
      <c r="F27" s="3" t="s">
        <v>209</v>
      </c>
      <c r="G27" s="383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 t="shared" si="4"/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3"/>
        <v>17</v>
      </c>
      <c r="C28" s="236"/>
      <c r="D28" s="236"/>
      <c r="E28" s="236" t="s">
        <v>663</v>
      </c>
      <c r="F28" s="137" t="s">
        <v>209</v>
      </c>
      <c r="G28" s="385">
        <f>9242/2</f>
        <v>4621</v>
      </c>
      <c r="H28" s="138">
        <v>15</v>
      </c>
      <c r="I28" s="136">
        <f>G28</f>
        <v>4621</v>
      </c>
      <c r="J28" s="136"/>
      <c r="K28" s="136">
        <f t="shared" ref="K28" si="6">I28</f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4"/>
        <v>4225.5</v>
      </c>
      <c r="Q28" s="129"/>
      <c r="S28" s="560" t="s">
        <v>723</v>
      </c>
      <c r="T28" s="130"/>
      <c r="U28" s="130"/>
      <c r="V28" s="131"/>
    </row>
    <row r="29" spans="2:22" s="132" customFormat="1" ht="30" customHeight="1">
      <c r="B29" s="89">
        <f t="shared" si="3"/>
        <v>18</v>
      </c>
      <c r="C29" s="236"/>
      <c r="D29" s="236"/>
      <c r="E29" s="236" t="s">
        <v>709</v>
      </c>
      <c r="F29" s="137" t="s">
        <v>209</v>
      </c>
      <c r="G29" s="385"/>
      <c r="H29" s="138">
        <v>15</v>
      </c>
      <c r="I29" s="136">
        <v>4621</v>
      </c>
      <c r="J29" s="136"/>
      <c r="K29" s="136"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4"/>
        <v>4225.5</v>
      </c>
      <c r="Q29" s="129"/>
      <c r="R29" s="132" t="s">
        <v>710</v>
      </c>
      <c r="S29" s="132" t="s">
        <v>724</v>
      </c>
      <c r="T29" s="130"/>
      <c r="U29" s="130"/>
      <c r="V29" s="131"/>
    </row>
    <row r="30" spans="2:22" s="132" customFormat="1" ht="30" customHeight="1">
      <c r="B30" s="89">
        <f t="shared" si="3"/>
        <v>19</v>
      </c>
      <c r="C30" s="236"/>
      <c r="D30" s="236"/>
      <c r="E30" s="236" t="s">
        <v>732</v>
      </c>
      <c r="F30" s="137" t="s">
        <v>209</v>
      </c>
      <c r="G30" s="385"/>
      <c r="H30" s="138">
        <v>15</v>
      </c>
      <c r="I30" s="136">
        <v>4621</v>
      </c>
      <c r="J30" s="136"/>
      <c r="K30" s="136"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 t="shared" si="4"/>
        <v>4225.5</v>
      </c>
      <c r="Q30" s="129"/>
      <c r="R30" s="132" t="s">
        <v>733</v>
      </c>
      <c r="T30" s="130"/>
      <c r="U30" s="130"/>
      <c r="V30" s="131"/>
    </row>
    <row r="31" spans="2:22" s="132" customFormat="1" ht="30" customHeight="1">
      <c r="B31" s="89">
        <f t="shared" si="3"/>
        <v>20</v>
      </c>
      <c r="C31" s="236"/>
      <c r="D31" s="236"/>
      <c r="E31" s="236" t="s">
        <v>753</v>
      </c>
      <c r="F31" s="137" t="s">
        <v>209</v>
      </c>
      <c r="G31" s="385"/>
      <c r="H31" s="138">
        <v>15</v>
      </c>
      <c r="I31" s="136">
        <v>4621</v>
      </c>
      <c r="J31" s="136"/>
      <c r="K31" s="136"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 t="shared" si="4"/>
        <v>4225.5</v>
      </c>
      <c r="Q31" s="129"/>
      <c r="R31" s="132" t="s">
        <v>786</v>
      </c>
      <c r="T31" s="130"/>
      <c r="U31" s="130"/>
      <c r="V31" s="131"/>
    </row>
    <row r="32" spans="2:22" s="132" customFormat="1" ht="30" customHeight="1">
      <c r="B32" s="89">
        <f t="shared" si="3"/>
        <v>21</v>
      </c>
      <c r="C32" s="236"/>
      <c r="D32" s="236"/>
      <c r="E32" s="236" t="s">
        <v>761</v>
      </c>
      <c r="F32" s="137" t="s">
        <v>209</v>
      </c>
      <c r="G32" s="385"/>
      <c r="H32" s="138">
        <v>15</v>
      </c>
      <c r="I32" s="136">
        <v>4621</v>
      </c>
      <c r="J32" s="136"/>
      <c r="K32" s="136">
        <v>4621</v>
      </c>
      <c r="L32" s="91">
        <v>0</v>
      </c>
      <c r="M32" s="91"/>
      <c r="N32" s="91">
        <v>395.5</v>
      </c>
      <c r="O32" s="91">
        <f t="shared" si="2"/>
        <v>395.5</v>
      </c>
      <c r="P32" s="128">
        <f t="shared" si="4"/>
        <v>4225.5</v>
      </c>
      <c r="Q32" s="129"/>
      <c r="R32" s="132" t="s">
        <v>787</v>
      </c>
      <c r="T32" s="130"/>
      <c r="U32" s="130"/>
      <c r="V32" s="131"/>
    </row>
    <row r="33" spans="1:22" s="132" customFormat="1" ht="30" customHeight="1">
      <c r="B33" s="89">
        <f t="shared" si="3"/>
        <v>22</v>
      </c>
      <c r="C33" s="236"/>
      <c r="D33" s="236"/>
      <c r="E33" s="236" t="s">
        <v>776</v>
      </c>
      <c r="F33" s="137" t="s">
        <v>209</v>
      </c>
      <c r="G33" s="385"/>
      <c r="H33" s="138">
        <v>15</v>
      </c>
      <c r="I33" s="136">
        <v>4621</v>
      </c>
      <c r="J33" s="136"/>
      <c r="K33" s="136">
        <v>4621</v>
      </c>
      <c r="L33" s="91">
        <v>0</v>
      </c>
      <c r="M33" s="91"/>
      <c r="N33" s="91">
        <v>395.5</v>
      </c>
      <c r="O33" s="91">
        <f t="shared" si="2"/>
        <v>395.5</v>
      </c>
      <c r="P33" s="128">
        <f>K33-O33</f>
        <v>4225.5</v>
      </c>
      <c r="Q33" s="129"/>
      <c r="R33" s="132" t="s">
        <v>777</v>
      </c>
      <c r="T33" s="130"/>
      <c r="U33" s="130"/>
      <c r="V33" s="131"/>
    </row>
    <row r="34" spans="1:22" s="132" customFormat="1" ht="30" customHeight="1">
      <c r="A34" s="576" t="s">
        <v>784</v>
      </c>
      <c r="B34" s="89">
        <f t="shared" si="3"/>
        <v>23</v>
      </c>
      <c r="C34" s="236"/>
      <c r="D34" s="236"/>
      <c r="E34" s="236" t="s">
        <v>780</v>
      </c>
      <c r="F34" s="137" t="s">
        <v>209</v>
      </c>
      <c r="G34" s="385"/>
      <c r="H34" s="138">
        <v>15</v>
      </c>
      <c r="I34" s="136">
        <v>4621</v>
      </c>
      <c r="J34" s="136"/>
      <c r="K34" s="136">
        <v>4621</v>
      </c>
      <c r="L34" s="91">
        <v>0</v>
      </c>
      <c r="M34" s="91"/>
      <c r="N34" s="91">
        <v>395.5</v>
      </c>
      <c r="O34" s="91">
        <f t="shared" si="2"/>
        <v>395.5</v>
      </c>
      <c r="P34" s="128">
        <f>K34-O34</f>
        <v>4225.5</v>
      </c>
      <c r="Q34" s="129"/>
      <c r="R34" s="132" t="s">
        <v>781</v>
      </c>
      <c r="T34" s="130"/>
      <c r="U34" s="130"/>
      <c r="V34" s="131"/>
    </row>
    <row r="35" spans="1:22" s="132" customFormat="1" ht="30" customHeight="1">
      <c r="A35" s="576" t="s">
        <v>784</v>
      </c>
      <c r="B35" s="89">
        <f t="shared" si="3"/>
        <v>24</v>
      </c>
      <c r="C35" s="588"/>
      <c r="D35" s="588"/>
      <c r="E35" s="588" t="s">
        <v>782</v>
      </c>
      <c r="F35" s="585" t="s">
        <v>209</v>
      </c>
      <c r="G35" s="589"/>
      <c r="H35" s="590">
        <v>13</v>
      </c>
      <c r="I35" s="591">
        <v>4004.86</v>
      </c>
      <c r="J35" s="591"/>
      <c r="K35" s="591">
        <v>4004.86</v>
      </c>
      <c r="L35" s="592">
        <v>0</v>
      </c>
      <c r="M35" s="592"/>
      <c r="N35" s="592">
        <v>342.76</v>
      </c>
      <c r="O35" s="592">
        <f t="shared" si="2"/>
        <v>342.76</v>
      </c>
      <c r="P35" s="593">
        <f>K35-O35</f>
        <v>3662.1000000000004</v>
      </c>
      <c r="Q35" s="594"/>
      <c r="R35" s="132" t="s">
        <v>781</v>
      </c>
      <c r="T35" s="130"/>
      <c r="U35" s="130"/>
      <c r="V35" s="131"/>
    </row>
    <row r="36" spans="1:22" s="132" customFormat="1" ht="30" customHeight="1">
      <c r="A36" s="576" t="s">
        <v>784</v>
      </c>
      <c r="B36" s="89">
        <f t="shared" si="3"/>
        <v>25</v>
      </c>
      <c r="C36" s="236"/>
      <c r="D36" s="236"/>
      <c r="E36" s="236" t="s">
        <v>783</v>
      </c>
      <c r="F36" s="137" t="s">
        <v>209</v>
      </c>
      <c r="G36" s="385"/>
      <c r="H36" s="138">
        <v>15</v>
      </c>
      <c r="I36" s="136">
        <v>4621</v>
      </c>
      <c r="J36" s="136"/>
      <c r="K36" s="136">
        <v>4621</v>
      </c>
      <c r="L36" s="91">
        <v>0</v>
      </c>
      <c r="M36" s="91"/>
      <c r="N36" s="91">
        <v>395.5</v>
      </c>
      <c r="O36" s="91">
        <f t="shared" si="2"/>
        <v>395.5</v>
      </c>
      <c r="P36" s="128">
        <f>K36-O36</f>
        <v>4225.5</v>
      </c>
      <c r="Q36" s="129"/>
      <c r="R36" s="132" t="s">
        <v>781</v>
      </c>
      <c r="T36" s="130"/>
      <c r="U36" s="130"/>
      <c r="V36" s="131"/>
    </row>
    <row r="37" spans="1:22" s="132" customFormat="1" ht="30" customHeight="1">
      <c r="B37" s="89">
        <f t="shared" si="3"/>
        <v>26</v>
      </c>
      <c r="C37" s="89"/>
      <c r="D37" s="89"/>
      <c r="E37" s="89" t="s">
        <v>227</v>
      </c>
      <c r="F37" s="3" t="s">
        <v>228</v>
      </c>
      <c r="G37" s="386">
        <f>4592/2</f>
        <v>2296</v>
      </c>
      <c r="H37" s="93">
        <v>15</v>
      </c>
      <c r="I37" s="91">
        <f>G37</f>
        <v>2296</v>
      </c>
      <c r="J37" s="91"/>
      <c r="K37" s="91">
        <f t="shared" si="1"/>
        <v>2296</v>
      </c>
      <c r="L37" s="91">
        <v>43.13</v>
      </c>
      <c r="M37" s="91"/>
      <c r="N37" s="91"/>
      <c r="O37" s="91">
        <f t="shared" si="2"/>
        <v>0</v>
      </c>
      <c r="P37" s="128">
        <f t="shared" si="4"/>
        <v>2339.13</v>
      </c>
      <c r="Q37" s="358"/>
      <c r="T37" s="130"/>
      <c r="U37" s="130"/>
      <c r="V37" s="131"/>
    </row>
    <row r="38" spans="1:22" s="132" customFormat="1" ht="30" customHeight="1" thickBot="1">
      <c r="B38" s="19"/>
      <c r="C38" s="299" t="s">
        <v>50</v>
      </c>
      <c r="D38" s="299"/>
      <c r="E38" s="299"/>
      <c r="F38" s="299"/>
      <c r="G38" s="299"/>
      <c r="H38" s="299"/>
      <c r="I38" s="300">
        <f t="shared" ref="I38:O38" si="7">SUM(I12:I37)</f>
        <v>126342.86</v>
      </c>
      <c r="J38" s="300">
        <f t="shared" si="7"/>
        <v>0</v>
      </c>
      <c r="K38" s="300">
        <f t="shared" si="7"/>
        <v>126342.86</v>
      </c>
      <c r="L38" s="300">
        <f t="shared" si="7"/>
        <v>43.13</v>
      </c>
      <c r="M38" s="300">
        <f t="shared" si="7"/>
        <v>0</v>
      </c>
      <c r="N38" s="300">
        <f t="shared" si="7"/>
        <v>11621.1</v>
      </c>
      <c r="O38" s="300">
        <f t="shared" si="7"/>
        <v>11621.1</v>
      </c>
      <c r="P38" s="301">
        <f>SUM(P12:P37)</f>
        <v>114764.89000000001</v>
      </c>
      <c r="R38" s="131"/>
      <c r="S38" s="131"/>
    </row>
    <row r="39" spans="1:22" ht="12" thickTop="1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132"/>
      <c r="S39" s="132"/>
      <c r="T39" s="132"/>
      <c r="U39" s="132"/>
      <c r="V39" s="132"/>
    </row>
    <row r="40" spans="1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235"/>
      <c r="S40" s="132"/>
      <c r="T40" s="132"/>
      <c r="U40" s="132"/>
      <c r="V40" s="132"/>
    </row>
    <row r="41" spans="1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132"/>
      <c r="S41" s="132"/>
      <c r="T41" s="132"/>
      <c r="U41" s="132"/>
      <c r="V41" s="132"/>
    </row>
    <row r="42" spans="1:22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32"/>
      <c r="R42" s="132"/>
      <c r="S42" s="132"/>
      <c r="T42" s="132"/>
      <c r="U42" s="132"/>
      <c r="V42" s="132"/>
    </row>
    <row r="43" spans="1:22">
      <c r="B43" s="139"/>
      <c r="C43" s="139"/>
      <c r="D43" s="139"/>
      <c r="E43" s="139"/>
      <c r="F43" s="139"/>
      <c r="G43" s="139" t="s">
        <v>28</v>
      </c>
      <c r="H43" s="139"/>
      <c r="I43" s="139"/>
      <c r="J43" s="139"/>
      <c r="K43" s="139"/>
      <c r="L43" s="139"/>
      <c r="M43" s="139"/>
      <c r="N43" s="141"/>
      <c r="O43" s="139"/>
      <c r="P43" s="142"/>
    </row>
    <row r="44" spans="1:22">
      <c r="G44" s="69"/>
      <c r="H44" s="69"/>
      <c r="I44" s="69"/>
      <c r="J44" s="69"/>
      <c r="K44" s="69"/>
      <c r="L44" s="69"/>
    </row>
    <row r="45" spans="1:22" ht="13.5" customHeight="1">
      <c r="B45" s="633" t="s">
        <v>461</v>
      </c>
      <c r="C45" s="633"/>
      <c r="D45" s="633"/>
      <c r="E45" s="633"/>
      <c r="F45" s="6"/>
      <c r="G45" s="648" t="s">
        <v>45</v>
      </c>
      <c r="H45" s="648"/>
      <c r="I45" s="648"/>
      <c r="J45" s="648"/>
      <c r="K45" s="648"/>
      <c r="L45" s="648"/>
      <c r="M45" s="319"/>
      <c r="N45" s="6"/>
      <c r="O45" s="648" t="s">
        <v>629</v>
      </c>
      <c r="P45" s="648"/>
      <c r="Q45" s="648"/>
    </row>
    <row r="46" spans="1:22" ht="12.75">
      <c r="B46" s="634" t="s">
        <v>150</v>
      </c>
      <c r="C46" s="634"/>
      <c r="D46" s="634"/>
      <c r="E46" s="634"/>
      <c r="F46" s="6"/>
      <c r="G46" s="6"/>
      <c r="H46" s="6" t="s">
        <v>151</v>
      </c>
      <c r="I46" s="6"/>
      <c r="J46" s="6"/>
      <c r="K46" s="6"/>
      <c r="L46" s="6"/>
      <c r="M46" s="6"/>
      <c r="N46" s="6" t="s">
        <v>152</v>
      </c>
      <c r="O46" s="634" t="s">
        <v>30</v>
      </c>
      <c r="P46" s="634"/>
      <c r="Q46" s="634"/>
    </row>
    <row r="47" spans="1:22">
      <c r="K47" s="143"/>
    </row>
    <row r="48" spans="1:22">
      <c r="P48" s="143"/>
    </row>
    <row r="49" spans="16:16">
      <c r="P49" s="143"/>
    </row>
    <row r="50" spans="16:16">
      <c r="P50" s="201"/>
    </row>
    <row r="54" spans="16:16">
      <c r="P54" s="297">
        <f>K38+L38-O38-M38</f>
        <v>114764.89</v>
      </c>
    </row>
    <row r="55" spans="16:16">
      <c r="P55" s="297">
        <f>P38-P54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5:E45"/>
    <mergeCell ref="O45:Q45"/>
    <mergeCell ref="B46:E46"/>
    <mergeCell ref="O46:Q46"/>
    <mergeCell ref="G45:L45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5"/>
  <sheetViews>
    <sheetView topLeftCell="A9" workbookViewId="0">
      <selection activeCell="J15" sqref="J15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5.42578125" style="132" customWidth="1"/>
    <col min="6" max="6" width="12.28515625" style="132" customWidth="1"/>
    <col min="7" max="7" width="0.7109375" style="132" hidden="1" customWidth="1"/>
    <col min="8" max="8" width="11.140625" style="391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67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"/>
    </row>
    <row r="3" spans="2:17" s="61" customFormat="1" ht="19.5">
      <c r="B3" s="654" t="s">
        <v>218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6"/>
    </row>
    <row r="4" spans="2:17" s="61" customFormat="1" ht="17.25">
      <c r="B4" s="675" t="s">
        <v>798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9"/>
    </row>
    <row r="5" spans="2:17" s="61" customFormat="1" ht="12.75">
      <c r="B5" s="121"/>
      <c r="C5" s="120"/>
      <c r="D5" s="120"/>
      <c r="E5" s="120"/>
      <c r="F5" s="120"/>
      <c r="G5" s="120"/>
      <c r="H5" s="387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88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89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0"/>
      <c r="I8" s="149"/>
      <c r="J8" s="669" t="s">
        <v>60</v>
      </c>
      <c r="K8" s="670"/>
      <c r="L8" s="671"/>
      <c r="M8" s="151"/>
      <c r="N8" s="669" t="s">
        <v>61</v>
      </c>
      <c r="O8" s="672"/>
      <c r="P8" s="151"/>
      <c r="Q8" s="152"/>
    </row>
    <row r="9" spans="2:17" ht="18" customHeight="1">
      <c r="B9" s="487" t="s">
        <v>158</v>
      </c>
      <c r="C9" s="653" t="s">
        <v>52</v>
      </c>
      <c r="D9" s="653"/>
      <c r="E9" s="653"/>
      <c r="F9" s="488"/>
      <c r="G9" s="489"/>
      <c r="H9" s="490"/>
      <c r="I9" s="491" t="s">
        <v>63</v>
      </c>
      <c r="J9" s="492" t="s">
        <v>3</v>
      </c>
      <c r="K9" s="493" t="s">
        <v>65</v>
      </c>
      <c r="L9" s="494" t="s">
        <v>159</v>
      </c>
      <c r="M9" s="493"/>
      <c r="N9" s="678" t="s">
        <v>623</v>
      </c>
      <c r="O9" s="679"/>
      <c r="P9" s="495" t="s">
        <v>160</v>
      </c>
      <c r="Q9" s="676" t="s">
        <v>29</v>
      </c>
    </row>
    <row r="10" spans="2:17" ht="18" customHeight="1">
      <c r="B10" s="496" t="s">
        <v>161</v>
      </c>
      <c r="C10" s="497" t="s">
        <v>53</v>
      </c>
      <c r="D10" s="498" t="s">
        <v>54</v>
      </c>
      <c r="E10" s="498" t="s">
        <v>55</v>
      </c>
      <c r="F10" s="498" t="s">
        <v>56</v>
      </c>
      <c r="G10" s="499" t="s">
        <v>57</v>
      </c>
      <c r="H10" s="500"/>
      <c r="I10" s="498" t="s">
        <v>162</v>
      </c>
      <c r="J10" s="501" t="s">
        <v>163</v>
      </c>
      <c r="K10" s="502" t="s">
        <v>164</v>
      </c>
      <c r="L10" s="503" t="s">
        <v>165</v>
      </c>
      <c r="M10" s="502" t="s">
        <v>618</v>
      </c>
      <c r="N10" s="498" t="s">
        <v>75</v>
      </c>
      <c r="O10" s="498" t="s">
        <v>167</v>
      </c>
      <c r="P10" s="504" t="s">
        <v>168</v>
      </c>
      <c r="Q10" s="677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605</v>
      </c>
      <c r="G12" s="3" t="s">
        <v>173</v>
      </c>
      <c r="H12" s="392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f>B12+1</f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2">
        <v>4621</v>
      </c>
      <c r="I13" s="3">
        <v>15</v>
      </c>
      <c r="J13" s="83">
        <f>H13</f>
        <v>4621</v>
      </c>
      <c r="K13" s="156"/>
      <c r="L13" s="82">
        <f t="shared" ref="L13:L24" si="0">J13</f>
        <v>4621</v>
      </c>
      <c r="M13" s="157"/>
      <c r="N13" s="91">
        <v>395.5</v>
      </c>
      <c r="O13" s="82">
        <f t="shared" ref="O13:O26" si="1">N13</f>
        <v>395.5</v>
      </c>
      <c r="P13" s="158">
        <f t="shared" ref="P13:P24" si="2">L13-M13-O13</f>
        <v>4225.5</v>
      </c>
      <c r="Q13" s="159"/>
    </row>
    <row r="14" spans="2:17" ht="30" customHeight="1">
      <c r="B14" s="3">
        <f t="shared" ref="B14:B26" si="3">B13+1</f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2">
        <f>9242/2</f>
        <v>4621</v>
      </c>
      <c r="I14" s="3">
        <v>15</v>
      </c>
      <c r="J14" s="83">
        <f t="shared" ref="J14:J21" si="4">H14</f>
        <v>4621</v>
      </c>
      <c r="K14" s="160"/>
      <c r="L14" s="82">
        <f t="shared" si="0"/>
        <v>4621</v>
      </c>
      <c r="M14" s="555">
        <v>500</v>
      </c>
      <c r="N14" s="91">
        <v>395.5</v>
      </c>
      <c r="O14" s="82">
        <f t="shared" si="1"/>
        <v>395.5</v>
      </c>
      <c r="P14" s="158">
        <f t="shared" si="2"/>
        <v>3725.5</v>
      </c>
      <c r="Q14" s="159"/>
    </row>
    <row r="15" spans="2:17" ht="30" customHeight="1">
      <c r="B15" s="3">
        <f t="shared" si="3"/>
        <v>4</v>
      </c>
      <c r="C15" s="3" t="s">
        <v>92</v>
      </c>
      <c r="D15" s="3" t="s">
        <v>181</v>
      </c>
      <c r="E15" s="133" t="s">
        <v>182</v>
      </c>
      <c r="F15" s="3" t="s">
        <v>172</v>
      </c>
      <c r="G15" s="137" t="s">
        <v>183</v>
      </c>
      <c r="H15" s="392">
        <f t="shared" ref="H15:H21" si="5">9242/2</f>
        <v>4621</v>
      </c>
      <c r="I15" s="3">
        <v>15</v>
      </c>
      <c r="J15" s="83">
        <f t="shared" si="4"/>
        <v>4621</v>
      </c>
      <c r="K15" s="160"/>
      <c r="L15" s="82">
        <f t="shared" si="0"/>
        <v>4621</v>
      </c>
      <c r="M15" s="157"/>
      <c r="N15" s="91">
        <v>395.5</v>
      </c>
      <c r="O15" s="82">
        <f t="shared" si="1"/>
        <v>395.5</v>
      </c>
      <c r="P15" s="158">
        <f t="shared" si="2"/>
        <v>4225.5</v>
      </c>
      <c r="Q15" s="159"/>
    </row>
    <row r="16" spans="2:17" ht="30" customHeight="1">
      <c r="B16" s="3">
        <f t="shared" si="3"/>
        <v>5</v>
      </c>
      <c r="C16" s="3" t="s">
        <v>180</v>
      </c>
      <c r="D16" s="3" t="s">
        <v>184</v>
      </c>
      <c r="E16" s="133" t="s">
        <v>185</v>
      </c>
      <c r="F16" s="3" t="s">
        <v>172</v>
      </c>
      <c r="G16" s="3" t="s">
        <v>186</v>
      </c>
      <c r="H16" s="392">
        <f t="shared" si="5"/>
        <v>4621</v>
      </c>
      <c r="I16" s="3">
        <v>15</v>
      </c>
      <c r="J16" s="83">
        <f t="shared" si="4"/>
        <v>4621</v>
      </c>
      <c r="K16" s="160"/>
      <c r="L16" s="82">
        <f t="shared" si="0"/>
        <v>4621</v>
      </c>
      <c r="M16" s="57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f t="shared" si="3"/>
        <v>6</v>
      </c>
      <c r="C17" s="3" t="s">
        <v>187</v>
      </c>
      <c r="D17" s="3" t="s">
        <v>188</v>
      </c>
      <c r="E17" s="133" t="s">
        <v>189</v>
      </c>
      <c r="F17" s="3" t="s">
        <v>172</v>
      </c>
      <c r="G17" s="3" t="s">
        <v>190</v>
      </c>
      <c r="H17" s="392">
        <f t="shared" si="5"/>
        <v>4621</v>
      </c>
      <c r="I17" s="3">
        <v>15</v>
      </c>
      <c r="J17" s="83">
        <f t="shared" si="4"/>
        <v>4621</v>
      </c>
      <c r="K17" s="160"/>
      <c r="L17" s="82">
        <f t="shared" si="0"/>
        <v>4621</v>
      </c>
      <c r="M17" s="57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f t="shared" si="3"/>
        <v>7</v>
      </c>
      <c r="C18" s="3" t="s">
        <v>105</v>
      </c>
      <c r="D18" s="3" t="s">
        <v>145</v>
      </c>
      <c r="E18" s="133" t="s">
        <v>191</v>
      </c>
      <c r="F18" s="3" t="s">
        <v>172</v>
      </c>
      <c r="G18" s="3" t="s">
        <v>192</v>
      </c>
      <c r="H18" s="392">
        <f t="shared" si="5"/>
        <v>4621</v>
      </c>
      <c r="I18" s="3">
        <v>15</v>
      </c>
      <c r="J18" s="83">
        <f t="shared" si="4"/>
        <v>4621</v>
      </c>
      <c r="K18" s="160"/>
      <c r="L18" s="82">
        <f t="shared" si="0"/>
        <v>4621</v>
      </c>
      <c r="M18" s="57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f t="shared" si="3"/>
        <v>8</v>
      </c>
      <c r="C19" s="3" t="s">
        <v>193</v>
      </c>
      <c r="D19" s="3" t="s">
        <v>194</v>
      </c>
      <c r="E19" s="133" t="s">
        <v>195</v>
      </c>
      <c r="F19" s="3" t="s">
        <v>172</v>
      </c>
      <c r="G19" s="3" t="s">
        <v>196</v>
      </c>
      <c r="H19" s="392">
        <f t="shared" si="5"/>
        <v>4621</v>
      </c>
      <c r="I19" s="3">
        <v>15</v>
      </c>
      <c r="J19" s="83">
        <f t="shared" si="4"/>
        <v>4621</v>
      </c>
      <c r="K19" s="160"/>
      <c r="L19" s="82">
        <f t="shared" si="0"/>
        <v>4621</v>
      </c>
      <c r="M19" s="57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8" ht="30" customHeight="1">
      <c r="B20" s="3">
        <f t="shared" si="3"/>
        <v>9</v>
      </c>
      <c r="C20" s="3" t="s">
        <v>113</v>
      </c>
      <c r="D20" s="3" t="s">
        <v>92</v>
      </c>
      <c r="E20" s="133" t="s">
        <v>197</v>
      </c>
      <c r="F20" s="3" t="s">
        <v>172</v>
      </c>
      <c r="G20" s="3"/>
      <c r="H20" s="392">
        <f t="shared" si="5"/>
        <v>4621</v>
      </c>
      <c r="I20" s="3">
        <v>15</v>
      </c>
      <c r="J20" s="83">
        <f t="shared" si="4"/>
        <v>4621</v>
      </c>
      <c r="K20" s="160"/>
      <c r="L20" s="82">
        <f t="shared" si="0"/>
        <v>4621</v>
      </c>
      <c r="M20" s="577">
        <v>0</v>
      </c>
      <c r="N20" s="91">
        <v>395.5</v>
      </c>
      <c r="O20" s="82">
        <f t="shared" si="1"/>
        <v>395.5</v>
      </c>
      <c r="P20" s="158">
        <f>L20-M20-O20</f>
        <v>4225.5</v>
      </c>
      <c r="Q20" s="159"/>
    </row>
    <row r="21" spans="2:18" ht="30" customHeight="1">
      <c r="B21" s="3">
        <f t="shared" si="3"/>
        <v>10</v>
      </c>
      <c r="C21" s="133" t="s">
        <v>106</v>
      </c>
      <c r="D21" s="133" t="s">
        <v>198</v>
      </c>
      <c r="E21" s="133" t="s">
        <v>199</v>
      </c>
      <c r="F21" s="133" t="s">
        <v>172</v>
      </c>
      <c r="G21" s="133"/>
      <c r="H21" s="392">
        <f t="shared" si="5"/>
        <v>4621</v>
      </c>
      <c r="I21" s="133">
        <v>15</v>
      </c>
      <c r="J21" s="83">
        <f t="shared" si="4"/>
        <v>4621</v>
      </c>
      <c r="K21" s="333"/>
      <c r="L21" s="82">
        <f t="shared" si="0"/>
        <v>4621</v>
      </c>
      <c r="M21" s="577"/>
      <c r="N21" s="91">
        <v>395.5</v>
      </c>
      <c r="O21" s="82">
        <f t="shared" si="1"/>
        <v>395.5</v>
      </c>
      <c r="P21" s="334">
        <f t="shared" si="2"/>
        <v>4225.5</v>
      </c>
      <c r="Q21" s="159"/>
    </row>
    <row r="22" spans="2:18" ht="30" customHeight="1">
      <c r="B22" s="3">
        <f t="shared" si="3"/>
        <v>11</v>
      </c>
      <c r="C22" s="3" t="s">
        <v>123</v>
      </c>
      <c r="D22" s="3" t="s">
        <v>223</v>
      </c>
      <c r="E22" s="133" t="s">
        <v>224</v>
      </c>
      <c r="F22" s="3" t="s">
        <v>172</v>
      </c>
      <c r="G22" s="3"/>
      <c r="H22" s="392">
        <f>9242/2</f>
        <v>4621</v>
      </c>
      <c r="I22" s="3">
        <v>15</v>
      </c>
      <c r="J22" s="83">
        <f>H22</f>
        <v>4621</v>
      </c>
      <c r="K22" s="160"/>
      <c r="L22" s="82">
        <f t="shared" si="0"/>
        <v>4621</v>
      </c>
      <c r="M22" s="577"/>
      <c r="N22" s="91">
        <v>395.5</v>
      </c>
      <c r="O22" s="82">
        <f t="shared" si="1"/>
        <v>395.5</v>
      </c>
      <c r="P22" s="158">
        <f t="shared" si="2"/>
        <v>4225.5</v>
      </c>
      <c r="Q22" s="159"/>
    </row>
    <row r="23" spans="2:18" ht="30" customHeight="1">
      <c r="B23" s="3">
        <f t="shared" si="3"/>
        <v>12</v>
      </c>
      <c r="C23" s="137" t="s">
        <v>174</v>
      </c>
      <c r="D23" s="137" t="s">
        <v>225</v>
      </c>
      <c r="E23" s="284" t="s">
        <v>226</v>
      </c>
      <c r="F23" s="137" t="s">
        <v>172</v>
      </c>
      <c r="G23" s="137"/>
      <c r="H23" s="393">
        <f>9242/2</f>
        <v>4621</v>
      </c>
      <c r="I23" s="137">
        <v>15</v>
      </c>
      <c r="J23" s="285">
        <f>H23</f>
        <v>4621</v>
      </c>
      <c r="K23" s="160"/>
      <c r="L23" s="99">
        <f t="shared" si="0"/>
        <v>4621</v>
      </c>
      <c r="M23" s="157"/>
      <c r="N23" s="136">
        <v>395.5</v>
      </c>
      <c r="O23" s="99">
        <f t="shared" si="1"/>
        <v>395.5</v>
      </c>
      <c r="P23" s="158">
        <f t="shared" si="2"/>
        <v>4225.5</v>
      </c>
      <c r="Q23" s="155"/>
    </row>
    <row r="24" spans="2:18" ht="24.75" customHeight="1">
      <c r="B24" s="3">
        <f t="shared" si="3"/>
        <v>13</v>
      </c>
      <c r="C24" s="161" t="s">
        <v>82</v>
      </c>
      <c r="D24" s="161" t="s">
        <v>87</v>
      </c>
      <c r="E24" s="161" t="s">
        <v>206</v>
      </c>
      <c r="F24" s="161" t="s">
        <v>172</v>
      </c>
      <c r="G24" s="161"/>
      <c r="H24" s="394">
        <f>9242/2</f>
        <v>4621</v>
      </c>
      <c r="I24" s="161">
        <v>15</v>
      </c>
      <c r="J24" s="156">
        <f>H24</f>
        <v>4621</v>
      </c>
      <c r="K24" s="288"/>
      <c r="L24" s="156">
        <f t="shared" si="0"/>
        <v>4621</v>
      </c>
      <c r="M24" s="288"/>
      <c r="N24" s="288">
        <v>395.5</v>
      </c>
      <c r="O24" s="82">
        <f t="shared" si="1"/>
        <v>395.5</v>
      </c>
      <c r="P24" s="158">
        <f t="shared" si="2"/>
        <v>4225.5</v>
      </c>
      <c r="Q24" s="161"/>
      <c r="R24" s="132" t="s">
        <v>764</v>
      </c>
    </row>
    <row r="25" spans="2:18" ht="24.75" customHeight="1">
      <c r="B25" s="3">
        <f t="shared" si="3"/>
        <v>14</v>
      </c>
      <c r="C25" s="161" t="s">
        <v>703</v>
      </c>
      <c r="D25" s="161" t="s">
        <v>113</v>
      </c>
      <c r="E25" s="161" t="s">
        <v>704</v>
      </c>
      <c r="F25" s="161" t="s">
        <v>172</v>
      </c>
      <c r="G25" s="161"/>
      <c r="H25" s="394"/>
      <c r="I25" s="161">
        <v>15</v>
      </c>
      <c r="J25" s="156">
        <v>4621</v>
      </c>
      <c r="K25" s="288"/>
      <c r="L25" s="156">
        <v>4621</v>
      </c>
      <c r="M25" s="288"/>
      <c r="N25" s="288">
        <v>395.5</v>
      </c>
      <c r="O25" s="82">
        <f t="shared" si="1"/>
        <v>395.5</v>
      </c>
      <c r="P25" s="90">
        <f>L25-O25</f>
        <v>4225.5</v>
      </c>
      <c r="Q25" s="161"/>
      <c r="R25" s="132" t="s">
        <v>763</v>
      </c>
    </row>
    <row r="26" spans="2:18" ht="24.75" customHeight="1">
      <c r="B26" s="3">
        <f t="shared" si="3"/>
        <v>15</v>
      </c>
      <c r="C26" s="161" t="s">
        <v>771</v>
      </c>
      <c r="D26" s="161" t="s">
        <v>772</v>
      </c>
      <c r="E26" s="161" t="s">
        <v>773</v>
      </c>
      <c r="F26" s="161" t="s">
        <v>172</v>
      </c>
      <c r="G26" s="161"/>
      <c r="H26" s="394"/>
      <c r="I26" s="161">
        <v>15</v>
      </c>
      <c r="J26" s="156">
        <v>4621</v>
      </c>
      <c r="K26" s="288"/>
      <c r="L26" s="156">
        <v>4621</v>
      </c>
      <c r="M26" s="288"/>
      <c r="N26" s="288">
        <v>395.5</v>
      </c>
      <c r="O26" s="82">
        <f t="shared" si="1"/>
        <v>395.5</v>
      </c>
      <c r="P26" s="90">
        <v>4225.5</v>
      </c>
      <c r="Q26" s="161"/>
      <c r="R26" s="565" t="s">
        <v>774</v>
      </c>
    </row>
    <row r="27" spans="2:18" ht="22.5" customHeight="1" thickBot="1">
      <c r="B27" s="673" t="s">
        <v>50</v>
      </c>
      <c r="C27" s="674"/>
      <c r="D27" s="674"/>
      <c r="E27" s="674"/>
      <c r="F27" s="674"/>
      <c r="G27" s="674"/>
      <c r="H27" s="674"/>
      <c r="I27" s="674"/>
      <c r="J27" s="286">
        <f>SUM(J12:J26)</f>
        <v>71448</v>
      </c>
      <c r="K27" s="286">
        <f t="shared" ref="K27" si="6">SUM(K12:K24)</f>
        <v>0</v>
      </c>
      <c r="L27" s="286">
        <f>SUM(L12:L26)</f>
        <v>71448</v>
      </c>
      <c r="M27" s="286">
        <f>SUM(M12:M24)</f>
        <v>500</v>
      </c>
      <c r="N27" s="286">
        <f>SUM(N12:N26)</f>
        <v>6332.93</v>
      </c>
      <c r="O27" s="286">
        <f>SUM(O12:O26)</f>
        <v>6332.93</v>
      </c>
      <c r="P27" s="287">
        <f>SUM(P12:P26)</f>
        <v>64615.07</v>
      </c>
      <c r="Q27" s="162"/>
    </row>
    <row r="28" spans="2:18" ht="22.5" customHeight="1" thickTop="1">
      <c r="B28" s="163"/>
      <c r="C28" s="163"/>
      <c r="D28" s="163"/>
      <c r="E28" s="163"/>
      <c r="F28" s="163"/>
      <c r="G28" s="163"/>
      <c r="H28" s="395"/>
      <c r="I28" s="163"/>
      <c r="J28" s="164"/>
      <c r="K28" s="164"/>
      <c r="L28" s="164"/>
      <c r="M28" s="164"/>
      <c r="N28" s="164"/>
      <c r="O28" s="164"/>
      <c r="P28" s="165" t="s">
        <v>51</v>
      </c>
      <c r="Q28" s="162"/>
    </row>
    <row r="29" spans="2:18" ht="22.5" customHeight="1">
      <c r="B29" s="163"/>
      <c r="C29" s="163"/>
      <c r="D29" s="163"/>
      <c r="E29" s="163"/>
      <c r="F29" s="163"/>
      <c r="G29" s="163"/>
      <c r="H29" s="395"/>
      <c r="I29" s="163"/>
      <c r="J29" s="164"/>
      <c r="K29" s="164"/>
      <c r="L29" s="164"/>
      <c r="M29" s="164"/>
      <c r="N29" s="164"/>
      <c r="O29" s="164"/>
      <c r="P29" s="164"/>
      <c r="Q29" s="162"/>
    </row>
    <row r="30" spans="2:18" ht="22.5" customHeight="1">
      <c r="B30" s="167"/>
      <c r="C30" s="167"/>
      <c r="D30" s="167"/>
      <c r="E30" s="167"/>
      <c r="F30" s="163"/>
      <c r="G30" s="163"/>
      <c r="H30" s="395"/>
      <c r="I30" s="666"/>
      <c r="J30" s="666"/>
      <c r="K30" s="666"/>
      <c r="L30" s="666"/>
      <c r="M30" s="666"/>
      <c r="N30" s="164"/>
      <c r="O30" s="664"/>
      <c r="P30" s="664"/>
      <c r="Q30" s="664"/>
    </row>
    <row r="31" spans="2:18" ht="15" customHeight="1">
      <c r="B31" s="663" t="s">
        <v>461</v>
      </c>
      <c r="C31" s="663"/>
      <c r="D31" s="663"/>
      <c r="E31" s="663"/>
      <c r="F31" s="166"/>
      <c r="G31" s="166"/>
      <c r="H31" s="396"/>
      <c r="I31" s="663" t="s">
        <v>45</v>
      </c>
      <c r="J31" s="663"/>
      <c r="K31" s="663"/>
      <c r="L31" s="663"/>
      <c r="M31" s="663"/>
      <c r="O31" s="663" t="s">
        <v>629</v>
      </c>
      <c r="P31" s="663"/>
      <c r="Q31" s="663"/>
    </row>
    <row r="32" spans="2:18" ht="12.75">
      <c r="B32" s="663" t="s">
        <v>150</v>
      </c>
      <c r="C32" s="663"/>
      <c r="D32" s="663"/>
      <c r="E32" s="663"/>
      <c r="F32" s="166"/>
      <c r="I32" s="663" t="s">
        <v>151</v>
      </c>
      <c r="J32" s="663"/>
      <c r="K32" s="663"/>
      <c r="L32" s="663"/>
      <c r="M32" s="663"/>
      <c r="O32" s="665" t="s">
        <v>713</v>
      </c>
      <c r="P32" s="665"/>
      <c r="Q32" s="665"/>
    </row>
    <row r="33" spans="10:16">
      <c r="J33" s="132"/>
      <c r="L33" s="132"/>
    </row>
    <row r="34" spans="10:16" ht="15" customHeight="1">
      <c r="J34" s="131"/>
      <c r="L34" s="131"/>
      <c r="N34" s="131"/>
      <c r="O34" s="131"/>
      <c r="P34" s="131">
        <f>L27-M27-O27</f>
        <v>64615.07</v>
      </c>
    </row>
    <row r="35" spans="10:16" ht="15" customHeight="1">
      <c r="J35" s="132"/>
      <c r="L35" s="132"/>
      <c r="P35" s="131">
        <f>P27-P34</f>
        <v>0</v>
      </c>
    </row>
  </sheetData>
  <mergeCells count="17">
    <mergeCell ref="B2:P2"/>
    <mergeCell ref="J8:L8"/>
    <mergeCell ref="N8:O8"/>
    <mergeCell ref="C9:E9"/>
    <mergeCell ref="B27:I27"/>
    <mergeCell ref="B3:Q3"/>
    <mergeCell ref="B4:Q4"/>
    <mergeCell ref="Q9:Q10"/>
    <mergeCell ref="N9:O9"/>
    <mergeCell ref="I32:M32"/>
    <mergeCell ref="B31:E31"/>
    <mergeCell ref="B32:E32"/>
    <mergeCell ref="O30:Q30"/>
    <mergeCell ref="O31:Q31"/>
    <mergeCell ref="O32:Q32"/>
    <mergeCell ref="I30:M30"/>
    <mergeCell ref="I31:M31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19" workbookViewId="0">
      <selection activeCell="B5" sqref="B5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398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397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84" t="s">
        <v>218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6"/>
    </row>
    <row r="4" spans="2:21" ht="17.25">
      <c r="B4" s="657" t="s">
        <v>799</v>
      </c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8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78" t="s">
        <v>582</v>
      </c>
      <c r="D6" s="278"/>
      <c r="E6" s="73"/>
      <c r="F6" s="73"/>
      <c r="G6" s="73"/>
      <c r="H6" s="73"/>
      <c r="I6" s="73"/>
      <c r="J6" s="399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26" t="s">
        <v>59</v>
      </c>
      <c r="C7" s="427"/>
      <c r="D7" s="427"/>
      <c r="E7" s="427"/>
      <c r="F7" s="681"/>
      <c r="G7" s="681"/>
      <c r="H7" s="681"/>
      <c r="I7" s="428"/>
      <c r="J7" s="429"/>
      <c r="K7" s="680" t="s">
        <v>60</v>
      </c>
      <c r="L7" s="680"/>
      <c r="M7" s="680"/>
      <c r="N7" s="680"/>
      <c r="O7" s="680"/>
      <c r="P7" s="682" t="s">
        <v>61</v>
      </c>
      <c r="Q7" s="683"/>
      <c r="R7" s="430"/>
      <c r="S7" s="689" t="s">
        <v>29</v>
      </c>
    </row>
    <row r="8" spans="2:21">
      <c r="B8" s="431" t="s">
        <v>62</v>
      </c>
      <c r="C8" s="432" t="s">
        <v>52</v>
      </c>
      <c r="D8" s="433"/>
      <c r="E8" s="433"/>
      <c r="F8" s="434"/>
      <c r="G8" s="435"/>
      <c r="H8" s="436" t="s">
        <v>63</v>
      </c>
      <c r="I8" s="436"/>
      <c r="J8" s="437"/>
      <c r="K8" s="438" t="s">
        <v>64</v>
      </c>
      <c r="L8" s="439" t="s">
        <v>65</v>
      </c>
      <c r="M8" s="438" t="s">
        <v>66</v>
      </c>
      <c r="N8" s="438" t="s">
        <v>67</v>
      </c>
      <c r="O8" s="438"/>
      <c r="P8" s="438"/>
      <c r="Q8" s="438" t="s">
        <v>68</v>
      </c>
      <c r="R8" s="440"/>
      <c r="S8" s="690"/>
    </row>
    <row r="9" spans="2:21">
      <c r="B9" s="441" t="s">
        <v>69</v>
      </c>
      <c r="C9" s="442" t="s">
        <v>53</v>
      </c>
      <c r="D9" s="442" t="s">
        <v>54</v>
      </c>
      <c r="E9" s="442" t="s">
        <v>55</v>
      </c>
      <c r="F9" s="442" t="s">
        <v>56</v>
      </c>
      <c r="G9" s="443" t="s">
        <v>57</v>
      </c>
      <c r="H9" s="444" t="s">
        <v>70</v>
      </c>
      <c r="I9" s="444"/>
      <c r="J9" s="445"/>
      <c r="K9" s="446" t="s">
        <v>71</v>
      </c>
      <c r="L9" s="447" t="s">
        <v>72</v>
      </c>
      <c r="M9" s="446" t="s">
        <v>73</v>
      </c>
      <c r="N9" s="446" t="s">
        <v>74</v>
      </c>
      <c r="O9" s="446" t="s">
        <v>618</v>
      </c>
      <c r="P9" s="446" t="s">
        <v>75</v>
      </c>
      <c r="Q9" s="446" t="s">
        <v>76</v>
      </c>
      <c r="R9" s="448" t="s">
        <v>77</v>
      </c>
      <c r="S9" s="691"/>
    </row>
    <row r="10" spans="2:21">
      <c r="B10" s="114"/>
      <c r="C10" s="76"/>
      <c r="D10" s="76"/>
      <c r="E10" s="76"/>
      <c r="F10" s="76"/>
      <c r="G10" s="76"/>
      <c r="H10" s="76"/>
      <c r="I10" s="76"/>
      <c r="J10" s="400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1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586">
        <v>1000</v>
      </c>
      <c r="P11" s="82">
        <v>130.86000000000001</v>
      </c>
      <c r="Q11" s="83">
        <f>P11</f>
        <v>130.86000000000001</v>
      </c>
      <c r="R11" s="84">
        <f>M11+N11-Q11-O11</f>
        <v>2367.14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1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1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1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2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180</v>
      </c>
      <c r="D16" s="7" t="s">
        <v>216</v>
      </c>
      <c r="E16" s="7" t="s">
        <v>221</v>
      </c>
      <c r="F16" s="7" t="s">
        <v>81</v>
      </c>
      <c r="G16" s="79"/>
      <c r="H16" s="80">
        <v>15</v>
      </c>
      <c r="I16" s="81">
        <f t="shared" si="1"/>
        <v>257.40933333333334</v>
      </c>
      <c r="J16" s="401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1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1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1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2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613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1">
        <f>6006/2</f>
        <v>3003</v>
      </c>
      <c r="K21" s="550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>M21+N21-Q21-O21</f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3">
        <f>5166/2</f>
        <v>2583</v>
      </c>
      <c r="K22" s="551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>M22+N22-Q22-O22</f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4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274</v>
      </c>
      <c r="G24" s="80"/>
      <c r="H24" s="80">
        <v>15</v>
      </c>
      <c r="I24" s="100">
        <f t="shared" si="5"/>
        <v>142.93333333333334</v>
      </c>
      <c r="J24" s="404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4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4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292</v>
      </c>
      <c r="D27" s="2" t="s">
        <v>180</v>
      </c>
      <c r="E27" s="2" t="s">
        <v>293</v>
      </c>
      <c r="F27" s="116" t="s">
        <v>273</v>
      </c>
      <c r="G27" s="80"/>
      <c r="H27" s="80">
        <v>15</v>
      </c>
      <c r="I27" s="100">
        <f t="shared" si="5"/>
        <v>279.2</v>
      </c>
      <c r="J27" s="404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4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4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4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4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4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5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4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92" t="s">
        <v>58</v>
      </c>
      <c r="C35" s="693"/>
      <c r="D35" s="693"/>
      <c r="E35" s="693"/>
      <c r="F35" s="694"/>
      <c r="G35" s="103"/>
      <c r="H35" s="105"/>
      <c r="I35" s="104"/>
      <c r="J35" s="406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1000</v>
      </c>
      <c r="P35" s="105">
        <f t="shared" si="6"/>
        <v>4821.21</v>
      </c>
      <c r="Q35" s="105">
        <f t="shared" si="6"/>
        <v>4821.21</v>
      </c>
      <c r="R35" s="186">
        <f t="shared" si="6"/>
        <v>75116.479999999981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0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07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48" t="s">
        <v>712</v>
      </c>
      <c r="C38" s="648"/>
      <c r="D38" s="648"/>
      <c r="E38" s="648"/>
      <c r="F38" s="76"/>
      <c r="G38" s="76"/>
      <c r="H38" s="76"/>
      <c r="I38" s="76"/>
      <c r="J38" s="400"/>
      <c r="K38" s="77"/>
      <c r="L38" s="77"/>
      <c r="M38" s="77"/>
      <c r="N38" s="77"/>
      <c r="O38" s="319"/>
      <c r="P38" s="648" t="s">
        <v>629</v>
      </c>
      <c r="Q38" s="648"/>
      <c r="R38" s="648"/>
      <c r="S38" s="76"/>
    </row>
    <row r="39" spans="1:21" ht="15" customHeight="1">
      <c r="A39" s="76"/>
      <c r="B39" s="634" t="s">
        <v>711</v>
      </c>
      <c r="C39" s="634"/>
      <c r="D39" s="634"/>
      <c r="E39" s="634"/>
      <c r="F39" s="634" t="s">
        <v>151</v>
      </c>
      <c r="G39" s="634"/>
      <c r="H39" s="634"/>
      <c r="I39" s="634"/>
      <c r="J39" s="634"/>
      <c r="K39" s="634"/>
      <c r="L39" s="634"/>
      <c r="M39" s="634"/>
      <c r="N39" s="6"/>
      <c r="O39" s="6"/>
      <c r="P39" s="634" t="s">
        <v>30</v>
      </c>
      <c r="Q39" s="634"/>
      <c r="R39" s="634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0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75116.479999999996</v>
      </c>
    </row>
    <row r="45" spans="1:21">
      <c r="M45" s="70"/>
      <c r="R45" s="62">
        <f>R35-R44</f>
        <v>0</v>
      </c>
    </row>
    <row r="52" spans="6:14">
      <c r="F52" s="634"/>
      <c r="G52" s="634"/>
      <c r="H52" s="634"/>
      <c r="I52" s="634"/>
      <c r="J52" s="634"/>
      <c r="K52" s="634"/>
      <c r="L52" s="634"/>
      <c r="M52" s="634"/>
      <c r="N52" s="634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A11" sqref="A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96" t="s">
        <v>702</v>
      </c>
      <c r="B2" s="696"/>
    </row>
    <row r="3" spans="1:3" ht="7.5" customHeight="1">
      <c r="A3" s="259"/>
      <c r="B3" s="259"/>
    </row>
    <row r="4" spans="1:3">
      <c r="A4" s="695" t="s">
        <v>583</v>
      </c>
      <c r="B4" s="695"/>
    </row>
    <row r="6" spans="1:3">
      <c r="A6" s="183" t="s">
        <v>288</v>
      </c>
      <c r="B6" s="183" t="s">
        <v>289</v>
      </c>
      <c r="C6" s="183" t="s">
        <v>290</v>
      </c>
    </row>
    <row r="7" spans="1:3">
      <c r="A7" s="183"/>
      <c r="B7" s="183"/>
      <c r="C7" s="184"/>
    </row>
    <row r="8" spans="1:3">
      <c r="A8" s="183" t="s">
        <v>612</v>
      </c>
      <c r="B8" s="183" t="s">
        <v>307</v>
      </c>
      <c r="C8" s="184">
        <v>1312.5</v>
      </c>
    </row>
    <row r="9" spans="1:3">
      <c r="A9" s="183" t="s">
        <v>672</v>
      </c>
      <c r="B9" s="183" t="s">
        <v>673</v>
      </c>
      <c r="C9" s="184">
        <v>1902.6</v>
      </c>
    </row>
    <row r="10" spans="1:3">
      <c r="A10" s="183" t="s">
        <v>738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7"/>
  <sheetViews>
    <sheetView workbookViewId="0">
      <selection activeCell="I22" sqref="I22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4" width="16.42578125" style="168" customWidth="1"/>
    <col min="5" max="5" width="0.28515625" style="168" customWidth="1"/>
    <col min="6" max="7" width="13.42578125" style="168"/>
    <col min="8" max="8" width="9.28515625" style="168" bestFit="1" customWidth="1"/>
    <col min="9" max="9" width="13.42578125" style="168"/>
    <col min="10" max="10" width="10.140625" style="168" bestFit="1" customWidth="1"/>
    <col min="11" max="11" width="28.5703125" style="168" customWidth="1"/>
    <col min="12" max="12" width="15.140625" style="168" customWidth="1"/>
    <col min="13" max="14" width="13.42578125" style="613"/>
    <col min="15" max="16384" width="13.42578125" style="168"/>
  </cols>
  <sheetData>
    <row r="1" spans="1:15">
      <c r="B1" s="45"/>
      <c r="C1" s="625"/>
      <c r="D1" s="626"/>
      <c r="E1" s="626"/>
      <c r="F1" s="626"/>
      <c r="G1" s="626"/>
      <c r="H1" s="29"/>
      <c r="I1" s="29"/>
      <c r="J1" s="29"/>
      <c r="K1" s="29"/>
      <c r="L1" s="19"/>
    </row>
    <row r="2" spans="1:15" ht="19.5">
      <c r="B2" s="627" t="s">
        <v>218</v>
      </c>
      <c r="C2" s="628"/>
      <c r="D2" s="628"/>
      <c r="E2" s="628"/>
      <c r="F2" s="628"/>
      <c r="G2" s="628"/>
      <c r="H2" s="628"/>
      <c r="I2" s="628"/>
      <c r="J2" s="628"/>
      <c r="K2" s="629"/>
      <c r="L2" s="610"/>
    </row>
    <row r="3" spans="1:15">
      <c r="B3" s="630" t="s">
        <v>800</v>
      </c>
      <c r="C3" s="631"/>
      <c r="D3" s="631"/>
      <c r="E3" s="631"/>
      <c r="F3" s="631"/>
      <c r="G3" s="631"/>
      <c r="H3" s="631"/>
      <c r="I3" s="631"/>
      <c r="J3" s="631"/>
      <c r="K3" s="632"/>
      <c r="L3" s="587"/>
    </row>
    <row r="4" spans="1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32"/>
      <c r="L4" s="19"/>
    </row>
    <row r="5" spans="1:15">
      <c r="B5" s="47"/>
      <c r="C5" s="48"/>
      <c r="D5" s="48"/>
      <c r="E5" s="48"/>
      <c r="F5" s="48"/>
      <c r="G5" s="48"/>
      <c r="H5" s="48"/>
      <c r="I5" s="48"/>
      <c r="J5" s="48"/>
      <c r="K5" s="33"/>
      <c r="L5" s="19"/>
    </row>
    <row r="6" spans="1:15" ht="36.75" customHeight="1">
      <c r="B6" s="602" t="s">
        <v>1</v>
      </c>
      <c r="C6" s="603" t="s">
        <v>2</v>
      </c>
      <c r="D6" s="603" t="s">
        <v>233</v>
      </c>
      <c r="E6" s="604" t="s">
        <v>4</v>
      </c>
      <c r="F6" s="604" t="s">
        <v>5</v>
      </c>
      <c r="G6" s="603" t="s">
        <v>48</v>
      </c>
      <c r="H6" s="603" t="s">
        <v>47</v>
      </c>
      <c r="I6" s="605" t="s">
        <v>6</v>
      </c>
      <c r="J6" s="606" t="s">
        <v>7</v>
      </c>
      <c r="K6" s="607" t="s">
        <v>29</v>
      </c>
      <c r="L6" s="611"/>
    </row>
    <row r="7" spans="1:15">
      <c r="B7" s="54" t="s">
        <v>801</v>
      </c>
      <c r="C7" s="19"/>
      <c r="D7" s="19"/>
      <c r="E7" s="19"/>
      <c r="F7" s="19"/>
      <c r="G7" s="19"/>
      <c r="H7" s="19"/>
      <c r="I7" s="19"/>
      <c r="J7" s="19"/>
      <c r="K7" s="32"/>
      <c r="L7" s="19"/>
      <c r="O7" s="170"/>
    </row>
    <row r="8" spans="1:15" ht="39.950000000000003" customHeight="1">
      <c r="A8" s="168" t="s">
        <v>804</v>
      </c>
      <c r="B8" s="171" t="s">
        <v>275</v>
      </c>
      <c r="C8" s="3" t="s">
        <v>615</v>
      </c>
      <c r="D8" s="595" t="s">
        <v>259</v>
      </c>
      <c r="E8" s="9">
        <v>0</v>
      </c>
      <c r="F8" s="9">
        <v>685.34</v>
      </c>
      <c r="G8" s="9">
        <v>0</v>
      </c>
      <c r="H8" s="9"/>
      <c r="I8" s="9">
        <f>H8</f>
        <v>0</v>
      </c>
      <c r="J8" s="9">
        <f>F8+G8-H8</f>
        <v>685.34</v>
      </c>
      <c r="K8" s="3"/>
      <c r="L8" s="19" t="s">
        <v>807</v>
      </c>
      <c r="M8" s="613">
        <v>685.34</v>
      </c>
      <c r="O8" s="170">
        <v>3585</v>
      </c>
    </row>
    <row r="9" spans="1:15" ht="39.950000000000003" customHeight="1">
      <c r="A9" s="168" t="s">
        <v>804</v>
      </c>
      <c r="B9" s="171" t="s">
        <v>276</v>
      </c>
      <c r="C9" s="3" t="s">
        <v>264</v>
      </c>
      <c r="D9" s="9" t="s">
        <v>253</v>
      </c>
      <c r="E9" s="9">
        <v>0</v>
      </c>
      <c r="F9" s="9">
        <v>479.68</v>
      </c>
      <c r="G9" s="9">
        <v>0</v>
      </c>
      <c r="H9" s="9"/>
      <c r="I9" s="9">
        <f t="shared" ref="I9:I12" si="0">H9</f>
        <v>0</v>
      </c>
      <c r="J9" s="9">
        <f t="shared" ref="J9" si="1">F9+G9-H9</f>
        <v>479.68</v>
      </c>
      <c r="K9" s="3"/>
      <c r="L9" s="19" t="s">
        <v>807</v>
      </c>
      <c r="M9" s="613">
        <v>479.68</v>
      </c>
      <c r="O9" s="170">
        <v>2375</v>
      </c>
    </row>
    <row r="10" spans="1:15" ht="15" customHeight="1">
      <c r="B10" s="596"/>
      <c r="C10" s="698" t="s">
        <v>803</v>
      </c>
      <c r="D10" s="698"/>
      <c r="E10" s="601"/>
      <c r="F10" s="601">
        <f>SUM(F8:F9)</f>
        <v>1165.02</v>
      </c>
      <c r="G10" s="601">
        <f>SUM(G8:G9)</f>
        <v>0</v>
      </c>
      <c r="H10" s="601"/>
      <c r="I10" s="601">
        <f>SUM(I8:I9)</f>
        <v>0</v>
      </c>
      <c r="J10" s="601">
        <f>SUM(J8:J9)</f>
        <v>1165.02</v>
      </c>
      <c r="K10" s="19"/>
      <c r="L10" s="19"/>
      <c r="N10" s="615">
        <f>M12/15</f>
        <v>149.4</v>
      </c>
      <c r="O10" s="170"/>
    </row>
    <row r="11" spans="1:15" ht="15" customHeight="1">
      <c r="B11" s="697" t="s">
        <v>802</v>
      </c>
      <c r="C11" s="697"/>
      <c r="D11" s="292"/>
      <c r="E11" s="292"/>
      <c r="F11" s="292"/>
      <c r="G11" s="292"/>
      <c r="H11" s="292"/>
      <c r="I11" s="292"/>
      <c r="J11" s="292"/>
      <c r="K11" s="19"/>
      <c r="L11" s="19"/>
      <c r="M11" s="614"/>
      <c r="N11" s="615">
        <f>N10*3</f>
        <v>448.20000000000005</v>
      </c>
      <c r="O11" s="597"/>
    </row>
    <row r="12" spans="1:15" s="424" customFormat="1" ht="39.950000000000003" customHeight="1">
      <c r="A12" s="424" t="s">
        <v>804</v>
      </c>
      <c r="B12" s="421" t="s">
        <v>277</v>
      </c>
      <c r="C12" s="323" t="s">
        <v>456</v>
      </c>
      <c r="D12" s="355" t="s">
        <v>255</v>
      </c>
      <c r="E12" s="355">
        <v>0</v>
      </c>
      <c r="F12" s="355">
        <v>411.77</v>
      </c>
      <c r="G12" s="355">
        <v>0</v>
      </c>
      <c r="H12" s="355"/>
      <c r="I12" s="355">
        <f t="shared" si="0"/>
        <v>0</v>
      </c>
      <c r="J12" s="355">
        <f>F12</f>
        <v>411.77</v>
      </c>
      <c r="K12" s="323"/>
      <c r="L12" s="139" t="s">
        <v>808</v>
      </c>
      <c r="M12" s="615">
        <v>2241</v>
      </c>
      <c r="N12" s="613">
        <f>N11*100%*90%</f>
        <v>403.38000000000005</v>
      </c>
      <c r="O12" s="425">
        <v>2016.9</v>
      </c>
    </row>
    <row r="13" spans="1:15" ht="39.950000000000003" customHeight="1">
      <c r="A13" s="168" t="s">
        <v>806</v>
      </c>
      <c r="B13" s="171" t="s">
        <v>278</v>
      </c>
      <c r="C13" s="3" t="s">
        <v>805</v>
      </c>
      <c r="D13" s="612" t="s">
        <v>810</v>
      </c>
      <c r="E13" s="9"/>
      <c r="F13" s="9">
        <v>2770.6</v>
      </c>
      <c r="G13" s="9">
        <v>0</v>
      </c>
      <c r="H13" s="9"/>
      <c r="I13" s="9">
        <v>0</v>
      </c>
      <c r="J13" s="9">
        <v>2770.6</v>
      </c>
      <c r="K13" s="3"/>
      <c r="L13" s="19" t="s">
        <v>809</v>
      </c>
      <c r="M13" s="613">
        <v>4621</v>
      </c>
      <c r="N13" s="613">
        <f>M13*100%*60%</f>
        <v>2772.6</v>
      </c>
      <c r="O13" s="170">
        <v>2770.6</v>
      </c>
    </row>
    <row r="14" spans="1:15" s="424" customFormat="1" ht="15" customHeight="1">
      <c r="B14" s="598"/>
      <c r="C14" s="699" t="s">
        <v>803</v>
      </c>
      <c r="D14" s="699"/>
      <c r="E14" s="600"/>
      <c r="F14" s="600">
        <f>SUM(F12:F13)</f>
        <v>3182.37</v>
      </c>
      <c r="G14" s="600">
        <f>SUM(G12)</f>
        <v>0</v>
      </c>
      <c r="H14" s="600"/>
      <c r="I14" s="600">
        <f>SUM(I12)</f>
        <v>0</v>
      </c>
      <c r="J14" s="600">
        <f>SUM(J12:J13)</f>
        <v>3182.37</v>
      </c>
      <c r="K14" s="139"/>
      <c r="L14" s="139"/>
      <c r="M14" s="615"/>
      <c r="O14" s="425"/>
    </row>
    <row r="15" spans="1:15" s="424" customFormat="1" ht="15" customHeight="1">
      <c r="B15" s="598"/>
      <c r="C15" s="139"/>
      <c r="D15" s="599"/>
      <c r="E15" s="599"/>
      <c r="F15" s="599"/>
      <c r="G15" s="599"/>
      <c r="H15" s="599"/>
      <c r="I15" s="599"/>
      <c r="J15" s="599"/>
      <c r="K15" s="139"/>
      <c r="L15" s="139"/>
      <c r="M15" s="615"/>
      <c r="O15" s="425"/>
    </row>
    <row r="16" spans="1:15" ht="15.75" thickBot="1">
      <c r="B16" s="176"/>
      <c r="C16" s="177" t="s">
        <v>50</v>
      </c>
      <c r="D16" s="15"/>
      <c r="E16" s="15">
        <f>SUM(E8:E12)</f>
        <v>0</v>
      </c>
      <c r="F16" s="15">
        <f>SUM(F10+FF1414+F14)</f>
        <v>4347.3899999999994</v>
      </c>
      <c r="G16" s="15">
        <f>SUM(G8:G12)</f>
        <v>0</v>
      </c>
      <c r="H16" s="15">
        <f>SUM(H8:H12)</f>
        <v>0</v>
      </c>
      <c r="I16" s="15">
        <f>SUM(I8:I12)</f>
        <v>0</v>
      </c>
      <c r="J16" s="230">
        <f>SUM(J10+J14)</f>
        <v>4347.3899999999994</v>
      </c>
      <c r="K16" s="26"/>
      <c r="L16" s="26"/>
      <c r="N16" s="168"/>
      <c r="O16" s="170"/>
    </row>
    <row r="17" spans="2:19" ht="15.75" thickTop="1">
      <c r="J17" s="178" t="s">
        <v>51</v>
      </c>
      <c r="O17" s="170"/>
    </row>
    <row r="18" spans="2:19">
      <c r="O18" s="170"/>
      <c r="R18" s="173">
        <v>81333.070000000007</v>
      </c>
      <c r="S18" s="168" t="s">
        <v>231</v>
      </c>
    </row>
    <row r="19" spans="2:19">
      <c r="E19" s="182"/>
      <c r="F19" s="182"/>
      <c r="G19" s="182"/>
      <c r="H19" s="182"/>
      <c r="J19" s="182"/>
      <c r="K19" s="182"/>
      <c r="M19" s="614"/>
      <c r="O19" s="170"/>
      <c r="R19" s="173">
        <v>53056.03</v>
      </c>
      <c r="S19" s="168" t="s">
        <v>232</v>
      </c>
    </row>
    <row r="20" spans="2:19">
      <c r="B20" s="633" t="s">
        <v>785</v>
      </c>
      <c r="C20" s="633"/>
      <c r="E20" s="634" t="s">
        <v>45</v>
      </c>
      <c r="F20" s="634"/>
      <c r="G20" s="634"/>
      <c r="H20" s="634"/>
      <c r="J20" s="634" t="s">
        <v>629</v>
      </c>
      <c r="K20" s="634"/>
      <c r="L20" s="319"/>
      <c r="M20" s="616"/>
      <c r="O20" s="115"/>
      <c r="P20" s="115"/>
      <c r="R20" s="174"/>
    </row>
    <row r="21" spans="2:19">
      <c r="B21" s="634" t="s">
        <v>150</v>
      </c>
      <c r="C21" s="634"/>
      <c r="E21" s="634" t="s">
        <v>151</v>
      </c>
      <c r="F21" s="634"/>
      <c r="G21" s="634"/>
      <c r="H21" s="634"/>
      <c r="J21" s="634" t="s">
        <v>30</v>
      </c>
      <c r="K21" s="634"/>
      <c r="L21" s="319"/>
      <c r="M21" s="617"/>
      <c r="O21" s="6"/>
      <c r="P21" s="6"/>
    </row>
    <row r="22" spans="2:19">
      <c r="O22" s="170"/>
    </row>
    <row r="23" spans="2:19">
      <c r="J23" s="295">
        <f>F16+G16-H16</f>
        <v>4347.3899999999994</v>
      </c>
      <c r="O23" s="170"/>
      <c r="R23" s="173">
        <v>96237.05</v>
      </c>
      <c r="S23" s="168" t="s">
        <v>220</v>
      </c>
    </row>
    <row r="24" spans="2:19">
      <c r="J24" s="295">
        <f>J16-J23</f>
        <v>0</v>
      </c>
      <c r="O24" s="170"/>
    </row>
    <row r="25" spans="2:19">
      <c r="O25" s="170"/>
      <c r="R25" s="173">
        <v>103878.79</v>
      </c>
      <c r="S25" s="168" t="s">
        <v>229</v>
      </c>
    </row>
    <row r="26" spans="2:19">
      <c r="O26" s="170"/>
    </row>
    <row r="27" spans="2:19">
      <c r="O27" s="170"/>
      <c r="R27" s="173">
        <v>128320</v>
      </c>
      <c r="S27" s="168" t="s">
        <v>271</v>
      </c>
    </row>
    <row r="28" spans="2:19">
      <c r="O28" s="179"/>
      <c r="R28" s="180">
        <f>SUM(R16:R27)</f>
        <v>462824.94</v>
      </c>
      <c r="S28" s="168" t="s">
        <v>272</v>
      </c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  <row r="37" spans="15:15">
      <c r="O37" s="179"/>
    </row>
  </sheetData>
  <mergeCells count="12">
    <mergeCell ref="C1:G1"/>
    <mergeCell ref="B2:K2"/>
    <mergeCell ref="B3:K3"/>
    <mergeCell ref="B20:C20"/>
    <mergeCell ref="E20:H20"/>
    <mergeCell ref="J20:K20"/>
    <mergeCell ref="B21:C21"/>
    <mergeCell ref="E21:H21"/>
    <mergeCell ref="J21:K21"/>
    <mergeCell ref="B11:C11"/>
    <mergeCell ref="C10:D10"/>
    <mergeCell ref="C14:D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6"/>
  <sheetViews>
    <sheetView workbookViewId="0">
      <selection activeCell="K15" sqref="K15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625"/>
      <c r="D1" s="626"/>
      <c r="E1" s="626"/>
      <c r="F1" s="626"/>
      <c r="G1" s="626"/>
      <c r="H1" s="626"/>
      <c r="I1" s="29"/>
      <c r="J1" s="29"/>
      <c r="K1" s="29"/>
      <c r="L1" s="29"/>
    </row>
    <row r="2" spans="2:15" ht="19.5">
      <c r="B2" s="627" t="s">
        <v>218</v>
      </c>
      <c r="C2" s="628"/>
      <c r="D2" s="628"/>
      <c r="E2" s="628"/>
      <c r="F2" s="628"/>
      <c r="G2" s="628"/>
      <c r="H2" s="628"/>
      <c r="I2" s="628"/>
      <c r="J2" s="628"/>
      <c r="K2" s="628"/>
      <c r="L2" s="629"/>
    </row>
    <row r="3" spans="2:15">
      <c r="B3" s="630" t="s">
        <v>800</v>
      </c>
      <c r="C3" s="631"/>
      <c r="D3" s="631"/>
      <c r="E3" s="631"/>
      <c r="F3" s="631"/>
      <c r="G3" s="631"/>
      <c r="H3" s="631"/>
      <c r="I3" s="631"/>
      <c r="J3" s="631"/>
      <c r="K3" s="631"/>
      <c r="L3" s="632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5" t="s">
        <v>1</v>
      </c>
      <c r="C6" s="506" t="s">
        <v>2</v>
      </c>
      <c r="D6" s="506" t="s">
        <v>3</v>
      </c>
      <c r="E6" s="506" t="s">
        <v>233</v>
      </c>
      <c r="F6" s="507" t="s">
        <v>4</v>
      </c>
      <c r="G6" s="507" t="s">
        <v>5</v>
      </c>
      <c r="H6" s="506" t="s">
        <v>48</v>
      </c>
      <c r="I6" s="506" t="s">
        <v>47</v>
      </c>
      <c r="J6" s="507" t="s">
        <v>6</v>
      </c>
      <c r="K6" s="508" t="s">
        <v>7</v>
      </c>
      <c r="L6" s="509" t="s">
        <v>29</v>
      </c>
    </row>
    <row r="7" spans="2:15">
      <c r="B7" s="54" t="s">
        <v>371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275</v>
      </c>
      <c r="C8" s="3" t="s">
        <v>363</v>
      </c>
      <c r="D8" s="9">
        <f>7780/2</f>
        <v>3890</v>
      </c>
      <c r="E8" s="9" t="s">
        <v>236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276</v>
      </c>
      <c r="C9" s="3" t="s">
        <v>364</v>
      </c>
      <c r="D9" s="9">
        <f>7498/2</f>
        <v>3749</v>
      </c>
      <c r="E9" s="9" t="s">
        <v>245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4" customFormat="1" ht="39.950000000000003" customHeight="1">
      <c r="B10" s="421" t="s">
        <v>277</v>
      </c>
      <c r="C10" s="323" t="s">
        <v>365</v>
      </c>
      <c r="D10" s="355">
        <v>4644.6400000000003</v>
      </c>
      <c r="E10" s="355" t="s">
        <v>245</v>
      </c>
      <c r="F10" s="355">
        <v>0</v>
      </c>
      <c r="G10" s="355">
        <f t="shared" si="0"/>
        <v>4644.6400000000003</v>
      </c>
      <c r="H10" s="355">
        <v>0</v>
      </c>
      <c r="I10" s="355"/>
      <c r="J10" s="355">
        <f t="shared" si="1"/>
        <v>0</v>
      </c>
      <c r="K10" s="422">
        <f>D10</f>
        <v>4644.6400000000003</v>
      </c>
      <c r="L10" s="423"/>
      <c r="O10" s="425"/>
    </row>
    <row r="11" spans="2:15" ht="39.950000000000003" customHeight="1">
      <c r="B11" s="171" t="s">
        <v>278</v>
      </c>
      <c r="C11" s="3" t="s">
        <v>366</v>
      </c>
      <c r="D11" s="9">
        <f>5214/2</f>
        <v>2607</v>
      </c>
      <c r="E11" s="9" t="s">
        <v>253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279</v>
      </c>
      <c r="C12" s="3" t="s">
        <v>367</v>
      </c>
      <c r="D12" s="9">
        <f>7104/2</f>
        <v>3552</v>
      </c>
      <c r="E12" s="9" t="s">
        <v>253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280</v>
      </c>
      <c r="C13" s="3" t="s">
        <v>368</v>
      </c>
      <c r="D13" s="9">
        <f>10936/2</f>
        <v>5468</v>
      </c>
      <c r="E13" s="9" t="s">
        <v>369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281</v>
      </c>
      <c r="C14" s="3" t="s">
        <v>370</v>
      </c>
      <c r="D14" s="9">
        <f>5076/2</f>
        <v>2538</v>
      </c>
      <c r="E14" s="9" t="s">
        <v>253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0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231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232</v>
      </c>
    </row>
    <row r="19" spans="2:19">
      <c r="B19" s="633" t="s">
        <v>785</v>
      </c>
      <c r="C19" s="633"/>
      <c r="D19" s="181"/>
      <c r="F19" s="634" t="s">
        <v>45</v>
      </c>
      <c r="G19" s="634"/>
      <c r="H19" s="634"/>
      <c r="I19" s="634"/>
      <c r="K19" s="634" t="s">
        <v>629</v>
      </c>
      <c r="L19" s="634"/>
      <c r="M19" s="6"/>
      <c r="O19" s="115"/>
      <c r="P19" s="115"/>
      <c r="R19" s="174"/>
    </row>
    <row r="20" spans="2:19">
      <c r="B20" s="634" t="s">
        <v>150</v>
      </c>
      <c r="C20" s="634"/>
      <c r="D20" s="6"/>
      <c r="F20" s="634" t="s">
        <v>151</v>
      </c>
      <c r="G20" s="634"/>
      <c r="H20" s="634"/>
      <c r="I20" s="634"/>
      <c r="K20" s="634" t="s">
        <v>30</v>
      </c>
      <c r="L20" s="634"/>
      <c r="M20" s="6"/>
      <c r="O20" s="6"/>
      <c r="P20" s="6"/>
    </row>
    <row r="21" spans="2:19">
      <c r="O21" s="170"/>
    </row>
    <row r="22" spans="2:19">
      <c r="K22" s="295">
        <f>G15+H15-I15</f>
        <v>26448.639999999999</v>
      </c>
      <c r="O22" s="170"/>
      <c r="R22" s="173">
        <v>96237.05</v>
      </c>
      <c r="S22" s="168" t="s">
        <v>220</v>
      </c>
    </row>
    <row r="23" spans="2:19">
      <c r="K23" s="295">
        <f>K15-K22</f>
        <v>0</v>
      </c>
      <c r="O23" s="170"/>
    </row>
    <row r="24" spans="2:19">
      <c r="O24" s="170"/>
      <c r="R24" s="173">
        <v>103878.79</v>
      </c>
      <c r="S24" s="168" t="s">
        <v>229</v>
      </c>
    </row>
    <row r="25" spans="2:19">
      <c r="O25" s="170"/>
    </row>
    <row r="26" spans="2:19">
      <c r="O26" s="170"/>
      <c r="R26" s="173">
        <v>128320</v>
      </c>
      <c r="S26" s="168" t="s">
        <v>271</v>
      </c>
    </row>
    <row r="27" spans="2:19">
      <c r="O27" s="179"/>
      <c r="R27" s="180">
        <f>SUM(R15:R26)</f>
        <v>462824.94</v>
      </c>
      <c r="S27" s="168" t="s">
        <v>272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0"/>
  <sheetViews>
    <sheetView topLeftCell="B10" zoomScale="91" zoomScaleNormal="91" workbookViewId="0">
      <selection activeCell="C14" sqref="C14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08" customWidth="1"/>
    <col min="9" max="9" width="16.28515625" style="253" customWidth="1"/>
    <col min="10" max="10" width="20.28515625" style="253" customWidth="1"/>
    <col min="11" max="11" width="13" style="25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00" t="s">
        <v>593</v>
      </c>
      <c r="D2" s="700"/>
      <c r="E2" s="700"/>
      <c r="F2" s="700"/>
      <c r="G2" s="700"/>
      <c r="H2" s="700"/>
      <c r="I2" s="700"/>
      <c r="J2" s="700"/>
      <c r="K2" s="700"/>
      <c r="L2" s="700"/>
    </row>
    <row r="3" spans="2:14" ht="18.75">
      <c r="C3" s="700" t="s">
        <v>614</v>
      </c>
      <c r="D3" s="700"/>
      <c r="E3" s="700"/>
      <c r="F3" s="700"/>
      <c r="G3" s="700"/>
      <c r="H3" s="700"/>
      <c r="I3" s="700"/>
      <c r="J3" s="700"/>
      <c r="K3" s="700"/>
      <c r="L3" s="700"/>
    </row>
    <row r="4" spans="2:14" ht="8.25" customHeight="1">
      <c r="C4" s="254"/>
      <c r="D4" s="254"/>
      <c r="E4" s="254"/>
      <c r="F4" s="254"/>
      <c r="G4" s="255"/>
      <c r="H4" s="409"/>
      <c r="I4" s="326"/>
      <c r="J4" s="326"/>
    </row>
    <row r="5" spans="2:14" ht="18.75">
      <c r="C5" s="255"/>
      <c r="D5" s="700" t="s">
        <v>811</v>
      </c>
      <c r="E5" s="700"/>
      <c r="F5" s="700"/>
      <c r="G5" s="700"/>
      <c r="H5" s="700"/>
      <c r="I5" s="700"/>
      <c r="J5" s="700"/>
      <c r="K5" s="256"/>
      <c r="L5" s="257"/>
    </row>
    <row r="7" spans="2:14">
      <c r="B7" s="417"/>
      <c r="C7" s="510" t="s">
        <v>288</v>
      </c>
      <c r="D7" s="510" t="s">
        <v>57</v>
      </c>
      <c r="E7" s="510" t="s">
        <v>491</v>
      </c>
      <c r="F7" s="510" t="s">
        <v>492</v>
      </c>
      <c r="G7" s="510"/>
      <c r="H7" s="511"/>
      <c r="I7" s="512" t="s">
        <v>290</v>
      </c>
      <c r="J7" s="512" t="s">
        <v>624</v>
      </c>
      <c r="K7" s="512" t="s">
        <v>565</v>
      </c>
      <c r="L7" s="510" t="s">
        <v>29</v>
      </c>
    </row>
    <row r="9" spans="2:14" ht="30" customHeight="1">
      <c r="B9" s="183">
        <v>1</v>
      </c>
      <c r="C9" s="183" t="s">
        <v>294</v>
      </c>
      <c r="D9" s="183" t="s">
        <v>493</v>
      </c>
      <c r="E9" s="183" t="s">
        <v>494</v>
      </c>
      <c r="F9" s="183" t="s">
        <v>495</v>
      </c>
      <c r="G9" s="183">
        <f>G5</f>
        <v>0</v>
      </c>
      <c r="H9" s="410">
        <f>5174/2</f>
        <v>2587</v>
      </c>
      <c r="I9" s="325">
        <f t="shared" ref="I9:I14" si="0">H9</f>
        <v>2587</v>
      </c>
      <c r="J9" s="325"/>
      <c r="K9" s="258">
        <f>I9-J9</f>
        <v>2587</v>
      </c>
      <c r="L9" s="183"/>
    </row>
    <row r="10" spans="2:14" ht="30" customHeight="1">
      <c r="B10" s="183">
        <f>B9+1</f>
        <v>2</v>
      </c>
      <c r="C10" s="183" t="s">
        <v>295</v>
      </c>
      <c r="D10" s="183"/>
      <c r="E10" s="183" t="s">
        <v>496</v>
      </c>
      <c r="F10" s="183" t="s">
        <v>497</v>
      </c>
      <c r="G10" s="183">
        <f>G9</f>
        <v>0</v>
      </c>
      <c r="H10" s="410">
        <f>4578/2</f>
        <v>2289</v>
      </c>
      <c r="I10" s="325">
        <f t="shared" si="0"/>
        <v>2289</v>
      </c>
      <c r="J10" s="325"/>
      <c r="K10" s="258">
        <f t="shared" ref="K10:K47" si="1">I10-J10</f>
        <v>2289</v>
      </c>
      <c r="L10" s="183"/>
    </row>
    <row r="11" spans="2:14" ht="30" customHeight="1">
      <c r="B11" s="183">
        <f t="shared" ref="B11:B58" si="2">B10+1</f>
        <v>3</v>
      </c>
      <c r="C11" s="183" t="s">
        <v>478</v>
      </c>
      <c r="D11" s="183" t="s">
        <v>566</v>
      </c>
      <c r="E11" s="183" t="s">
        <v>581</v>
      </c>
      <c r="F11" s="183"/>
      <c r="G11" s="183">
        <f>G10</f>
        <v>0</v>
      </c>
      <c r="H11" s="410">
        <f>7042/2</f>
        <v>3521</v>
      </c>
      <c r="I11" s="325">
        <f t="shared" si="0"/>
        <v>3521</v>
      </c>
      <c r="J11" s="325"/>
      <c r="K11" s="258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296</v>
      </c>
      <c r="D12" s="183" t="s">
        <v>498</v>
      </c>
      <c r="E12" s="183" t="s">
        <v>499</v>
      </c>
      <c r="F12" s="183" t="s">
        <v>500</v>
      </c>
      <c r="G12" s="183">
        <f t="shared" ref="G12:G44" si="3">G11</f>
        <v>0</v>
      </c>
      <c r="H12" s="411">
        <f>3790/2</f>
        <v>1895</v>
      </c>
      <c r="I12" s="327">
        <f t="shared" si="0"/>
        <v>1895</v>
      </c>
      <c r="J12" s="327"/>
      <c r="K12" s="258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700</v>
      </c>
      <c r="D13" s="183" t="s">
        <v>501</v>
      </c>
      <c r="E13" s="183" t="s">
        <v>502</v>
      </c>
      <c r="F13" s="183" t="s">
        <v>503</v>
      </c>
      <c r="G13" s="183">
        <f>G61</f>
        <v>0</v>
      </c>
      <c r="H13" s="411">
        <f>5242/2</f>
        <v>2621</v>
      </c>
      <c r="I13" s="327">
        <f t="shared" si="0"/>
        <v>2621</v>
      </c>
      <c r="J13" s="327"/>
      <c r="K13" s="258">
        <f t="shared" si="1"/>
        <v>2621</v>
      </c>
      <c r="L13" s="183"/>
      <c r="M13" t="s">
        <v>701</v>
      </c>
      <c r="N13" t="s">
        <v>725</v>
      </c>
    </row>
    <row r="14" spans="2:14" ht="30" customHeight="1">
      <c r="B14" s="183">
        <f t="shared" si="2"/>
        <v>6</v>
      </c>
      <c r="C14" s="183" t="s">
        <v>504</v>
      </c>
      <c r="D14" s="183"/>
      <c r="E14" s="183" t="s">
        <v>505</v>
      </c>
      <c r="F14" s="183" t="s">
        <v>500</v>
      </c>
      <c r="G14" s="183">
        <f t="shared" si="3"/>
        <v>0</v>
      </c>
      <c r="H14" s="411">
        <f>7720/2</f>
        <v>3860</v>
      </c>
      <c r="I14" s="327">
        <f t="shared" si="0"/>
        <v>3860</v>
      </c>
      <c r="J14" s="562">
        <v>500</v>
      </c>
      <c r="K14" s="258">
        <f>I14-J14</f>
        <v>3360</v>
      </c>
      <c r="L14" s="183"/>
    </row>
    <row r="15" spans="2:14" ht="30" customHeight="1">
      <c r="B15" s="183">
        <f t="shared" si="2"/>
        <v>7</v>
      </c>
      <c r="C15" s="183" t="s">
        <v>297</v>
      </c>
      <c r="D15" s="183" t="s">
        <v>506</v>
      </c>
      <c r="E15" s="183" t="s">
        <v>507</v>
      </c>
      <c r="F15" s="183" t="s">
        <v>500</v>
      </c>
      <c r="G15" s="183">
        <f t="shared" si="3"/>
        <v>0</v>
      </c>
      <c r="H15" s="411">
        <v>3543</v>
      </c>
      <c r="I15" s="327">
        <v>3543</v>
      </c>
      <c r="J15" s="327"/>
      <c r="K15" s="258">
        <f>I15-J15</f>
        <v>3543</v>
      </c>
      <c r="L15" s="183"/>
    </row>
    <row r="16" spans="2:14" ht="30" customHeight="1">
      <c r="B16" s="183">
        <f t="shared" si="2"/>
        <v>8</v>
      </c>
      <c r="C16" s="183" t="s">
        <v>298</v>
      </c>
      <c r="D16" s="183" t="s">
        <v>508</v>
      </c>
      <c r="E16" s="183" t="s">
        <v>509</v>
      </c>
      <c r="F16" s="183" t="s">
        <v>510</v>
      </c>
      <c r="G16" s="183">
        <f t="shared" si="3"/>
        <v>0</v>
      </c>
      <c r="H16" s="410">
        <f>6608/2</f>
        <v>3304</v>
      </c>
      <c r="I16" s="325">
        <v>3304</v>
      </c>
      <c r="J16" s="325"/>
      <c r="K16" s="258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479</v>
      </c>
      <c r="D17" s="183" t="s">
        <v>511</v>
      </c>
      <c r="E17" s="183" t="s">
        <v>512</v>
      </c>
      <c r="F17" s="183" t="s">
        <v>500</v>
      </c>
      <c r="G17" s="183">
        <f t="shared" si="3"/>
        <v>0</v>
      </c>
      <c r="H17" s="410">
        <f>3510/2</f>
        <v>1755</v>
      </c>
      <c r="I17" s="325">
        <f t="shared" ref="I17:I44" si="4">H17</f>
        <v>1755</v>
      </c>
      <c r="J17" s="325"/>
      <c r="K17" s="258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299</v>
      </c>
      <c r="D18" s="183"/>
      <c r="E18" s="183" t="s">
        <v>513</v>
      </c>
      <c r="F18" s="183"/>
      <c r="G18" s="183">
        <f>G63</f>
        <v>0</v>
      </c>
      <c r="H18" s="410">
        <f>6240/2</f>
        <v>3120</v>
      </c>
      <c r="I18" s="325">
        <v>3120</v>
      </c>
      <c r="J18" s="327"/>
      <c r="K18" s="258">
        <f t="shared" si="1"/>
        <v>3120</v>
      </c>
      <c r="L18" s="183"/>
      <c r="M18" s="579"/>
    </row>
    <row r="19" spans="2:14" ht="30" customHeight="1">
      <c r="B19" s="183">
        <f t="shared" si="2"/>
        <v>11</v>
      </c>
      <c r="C19" s="183" t="s">
        <v>300</v>
      </c>
      <c r="D19" s="183" t="s">
        <v>514</v>
      </c>
      <c r="E19" s="183" t="s">
        <v>515</v>
      </c>
      <c r="F19" s="578" t="s">
        <v>714</v>
      </c>
      <c r="G19" s="183">
        <f t="shared" si="3"/>
        <v>0</v>
      </c>
      <c r="H19" s="411">
        <f>6128/2</f>
        <v>3064</v>
      </c>
      <c r="I19" s="327">
        <v>2859.73</v>
      </c>
      <c r="J19" s="327"/>
      <c r="K19" s="258">
        <f t="shared" si="1"/>
        <v>2859.73</v>
      </c>
      <c r="L19" s="183"/>
      <c r="M19" s="579" t="s">
        <v>812</v>
      </c>
    </row>
    <row r="20" spans="2:14" ht="30" customHeight="1">
      <c r="B20" s="183">
        <f t="shared" si="2"/>
        <v>12</v>
      </c>
      <c r="C20" s="183" t="s">
        <v>301</v>
      </c>
      <c r="D20" s="183"/>
      <c r="E20" s="183" t="s">
        <v>516</v>
      </c>
      <c r="F20" s="183" t="s">
        <v>500</v>
      </c>
      <c r="G20" s="183">
        <f t="shared" si="3"/>
        <v>0</v>
      </c>
      <c r="H20" s="410">
        <f>7330/2</f>
        <v>3665</v>
      </c>
      <c r="I20" s="325">
        <f t="shared" si="4"/>
        <v>3665</v>
      </c>
      <c r="J20" s="327"/>
      <c r="K20" s="258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302</v>
      </c>
      <c r="D21" s="183" t="s">
        <v>517</v>
      </c>
      <c r="E21" s="183" t="s">
        <v>494</v>
      </c>
      <c r="F21" s="183"/>
      <c r="G21" s="183">
        <f t="shared" si="3"/>
        <v>0</v>
      </c>
      <c r="H21" s="410">
        <f>6240/2</f>
        <v>3120</v>
      </c>
      <c r="I21" s="325">
        <f t="shared" si="4"/>
        <v>3120</v>
      </c>
      <c r="J21" s="325"/>
      <c r="K21" s="258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518</v>
      </c>
      <c r="D22" s="183" t="s">
        <v>519</v>
      </c>
      <c r="E22" s="183" t="s">
        <v>520</v>
      </c>
      <c r="F22" s="183" t="s">
        <v>500</v>
      </c>
      <c r="G22" s="183" t="e">
        <f>#REF!</f>
        <v>#REF!</v>
      </c>
      <c r="H22" s="410">
        <f>4580/2</f>
        <v>2290</v>
      </c>
      <c r="I22" s="325">
        <f t="shared" si="4"/>
        <v>2290</v>
      </c>
      <c r="J22" s="327"/>
      <c r="K22" s="258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303</v>
      </c>
      <c r="D23" s="183" t="s">
        <v>521</v>
      </c>
      <c r="E23" s="183" t="s">
        <v>522</v>
      </c>
      <c r="F23" s="183"/>
      <c r="G23" s="183" t="e">
        <f>G22</f>
        <v>#REF!</v>
      </c>
      <c r="H23" s="411">
        <f>7414/2</f>
        <v>3707</v>
      </c>
      <c r="I23" s="327">
        <v>3707</v>
      </c>
      <c r="J23" s="327"/>
      <c r="K23" s="258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304</v>
      </c>
      <c r="D24" s="183" t="s">
        <v>523</v>
      </c>
      <c r="E24" s="183" t="s">
        <v>524</v>
      </c>
      <c r="F24" s="183" t="s">
        <v>525</v>
      </c>
      <c r="G24" s="183" t="e">
        <f t="shared" si="3"/>
        <v>#REF!</v>
      </c>
      <c r="H24" s="410">
        <f>4210/2</f>
        <v>2105</v>
      </c>
      <c r="I24" s="325">
        <f t="shared" si="4"/>
        <v>2105</v>
      </c>
      <c r="J24" s="325"/>
      <c r="K24" s="258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305</v>
      </c>
      <c r="D25" s="183" t="s">
        <v>526</v>
      </c>
      <c r="E25" s="183" t="s">
        <v>527</v>
      </c>
      <c r="F25" s="183" t="s">
        <v>500</v>
      </c>
      <c r="G25" s="183" t="e">
        <f>#REF!</f>
        <v>#REF!</v>
      </c>
      <c r="H25" s="410">
        <f>4992/2</f>
        <v>2496</v>
      </c>
      <c r="I25" s="325">
        <v>2884</v>
      </c>
      <c r="J25" s="327"/>
      <c r="K25" s="258">
        <f t="shared" si="1"/>
        <v>2884</v>
      </c>
      <c r="L25" s="183"/>
      <c r="M25" s="618" t="s">
        <v>813</v>
      </c>
    </row>
    <row r="26" spans="2:14" ht="30" customHeight="1">
      <c r="B26" s="183">
        <f t="shared" si="2"/>
        <v>18</v>
      </c>
      <c r="C26" s="183" t="s">
        <v>657</v>
      </c>
      <c r="D26" s="183" t="s">
        <v>528</v>
      </c>
      <c r="E26" s="183" t="s">
        <v>529</v>
      </c>
      <c r="F26" s="183" t="s">
        <v>500</v>
      </c>
      <c r="G26" s="183" t="e">
        <f t="shared" si="3"/>
        <v>#REF!</v>
      </c>
      <c r="H26" s="410">
        <f>5848/2</f>
        <v>2924</v>
      </c>
      <c r="I26" s="325">
        <v>3665</v>
      </c>
      <c r="J26" s="325"/>
      <c r="K26" s="258">
        <f t="shared" si="1"/>
        <v>3665</v>
      </c>
      <c r="L26" s="183"/>
    </row>
    <row r="27" spans="2:14" ht="30" customHeight="1">
      <c r="B27" s="183">
        <f t="shared" si="2"/>
        <v>19</v>
      </c>
      <c r="C27" s="183" t="s">
        <v>530</v>
      </c>
      <c r="D27" s="183" t="s">
        <v>531</v>
      </c>
      <c r="E27" s="183" t="s">
        <v>532</v>
      </c>
      <c r="F27" s="183" t="s">
        <v>500</v>
      </c>
      <c r="G27" s="183" t="e">
        <f t="shared" si="3"/>
        <v>#REF!</v>
      </c>
      <c r="H27" s="410">
        <f>7060/2</f>
        <v>3530</v>
      </c>
      <c r="I27" s="325">
        <f t="shared" si="4"/>
        <v>3530</v>
      </c>
      <c r="J27" s="325"/>
      <c r="K27" s="258">
        <f t="shared" si="1"/>
        <v>3530</v>
      </c>
      <c r="L27" s="183"/>
    </row>
    <row r="28" spans="2:14" ht="30" customHeight="1">
      <c r="B28" s="183">
        <f t="shared" si="2"/>
        <v>20</v>
      </c>
      <c r="C28" s="183" t="s">
        <v>306</v>
      </c>
      <c r="D28" s="183"/>
      <c r="E28" s="183" t="s">
        <v>533</v>
      </c>
      <c r="F28" s="183" t="s">
        <v>500</v>
      </c>
      <c r="G28" s="183" t="e">
        <f t="shared" si="3"/>
        <v>#REF!</v>
      </c>
      <c r="H28" s="410">
        <f>7414/2</f>
        <v>3707</v>
      </c>
      <c r="I28" s="325">
        <f t="shared" si="4"/>
        <v>3707</v>
      </c>
      <c r="J28" s="325"/>
      <c r="K28" s="258">
        <f t="shared" si="1"/>
        <v>3707</v>
      </c>
      <c r="L28" s="183"/>
    </row>
    <row r="29" spans="2:14" ht="30" customHeight="1">
      <c r="B29" s="183">
        <f t="shared" si="2"/>
        <v>21</v>
      </c>
      <c r="C29" s="183" t="s">
        <v>308</v>
      </c>
      <c r="D29" s="183" t="s">
        <v>534</v>
      </c>
      <c r="E29" s="183" t="s">
        <v>535</v>
      </c>
      <c r="F29" s="183"/>
      <c r="G29" s="183" t="e">
        <f t="shared" si="3"/>
        <v>#REF!</v>
      </c>
      <c r="H29" s="410">
        <f>3510/2</f>
        <v>1755</v>
      </c>
      <c r="I29" s="325">
        <f t="shared" si="4"/>
        <v>1755</v>
      </c>
      <c r="J29" s="325"/>
      <c r="K29" s="258">
        <f t="shared" si="1"/>
        <v>1755</v>
      </c>
      <c r="L29" s="183"/>
    </row>
    <row r="30" spans="2:14" ht="30" customHeight="1">
      <c r="B30" s="183">
        <f t="shared" si="2"/>
        <v>22</v>
      </c>
      <c r="C30" s="183" t="s">
        <v>309</v>
      </c>
      <c r="D30" s="183" t="s">
        <v>536</v>
      </c>
      <c r="E30" s="183" t="s">
        <v>537</v>
      </c>
      <c r="F30" s="183" t="s">
        <v>500</v>
      </c>
      <c r="G30" s="183" t="e">
        <f t="shared" si="3"/>
        <v>#REF!</v>
      </c>
      <c r="H30" s="410">
        <f>6438/2</f>
        <v>3219</v>
      </c>
      <c r="I30" s="325">
        <f t="shared" si="4"/>
        <v>3219</v>
      </c>
      <c r="J30" s="325"/>
      <c r="K30" s="258">
        <f t="shared" si="1"/>
        <v>3219</v>
      </c>
      <c r="L30" s="183"/>
    </row>
    <row r="31" spans="2:14" ht="30" customHeight="1">
      <c r="B31" s="183">
        <f t="shared" si="2"/>
        <v>23</v>
      </c>
      <c r="C31" s="183" t="s">
        <v>652</v>
      </c>
      <c r="D31" s="183"/>
      <c r="E31" s="183" t="s">
        <v>653</v>
      </c>
      <c r="F31" s="183"/>
      <c r="G31" s="183" t="e">
        <f t="shared" si="3"/>
        <v>#REF!</v>
      </c>
      <c r="H31" s="411">
        <f>7488/2</f>
        <v>3744</v>
      </c>
      <c r="I31" s="327">
        <f t="shared" si="4"/>
        <v>3744</v>
      </c>
      <c r="J31" s="327"/>
      <c r="K31" s="258">
        <f t="shared" si="1"/>
        <v>3744</v>
      </c>
      <c r="L31" s="183"/>
      <c r="M31" t="s">
        <v>656</v>
      </c>
      <c r="N31" t="s">
        <v>748</v>
      </c>
    </row>
    <row r="32" spans="2:14" ht="30" customHeight="1">
      <c r="B32" s="183">
        <f t="shared" si="2"/>
        <v>24</v>
      </c>
      <c r="C32" s="183" t="s">
        <v>685</v>
      </c>
      <c r="D32" s="183"/>
      <c r="E32" s="183" t="s">
        <v>686</v>
      </c>
      <c r="F32" s="183"/>
      <c r="G32" s="183" t="e">
        <f t="shared" si="3"/>
        <v>#REF!</v>
      </c>
      <c r="H32" s="411">
        <f>8320/2</f>
        <v>4160</v>
      </c>
      <c r="I32" s="327">
        <f t="shared" si="4"/>
        <v>4160</v>
      </c>
      <c r="J32" s="327"/>
      <c r="K32" s="258">
        <f>I32-J32</f>
        <v>4160</v>
      </c>
      <c r="L32" s="183"/>
      <c r="M32" t="s">
        <v>687</v>
      </c>
      <c r="N32" t="s">
        <v>749</v>
      </c>
    </row>
    <row r="33" spans="2:14" ht="30" customHeight="1">
      <c r="B33" s="183">
        <f t="shared" si="2"/>
        <v>25</v>
      </c>
      <c r="C33" s="183" t="s">
        <v>538</v>
      </c>
      <c r="D33" s="183" t="s">
        <v>539</v>
      </c>
      <c r="E33" s="183" t="s">
        <v>494</v>
      </c>
      <c r="F33" s="183"/>
      <c r="G33" s="183" t="e">
        <f>#REF!</f>
        <v>#REF!</v>
      </c>
      <c r="H33" s="410">
        <f>6240/2</f>
        <v>3120</v>
      </c>
      <c r="I33" s="325">
        <f t="shared" si="4"/>
        <v>3120</v>
      </c>
      <c r="J33" s="325"/>
      <c r="K33" s="258">
        <f t="shared" si="1"/>
        <v>3120</v>
      </c>
      <c r="L33" s="183"/>
    </row>
    <row r="34" spans="2:14" ht="30" customHeight="1">
      <c r="B34" s="183">
        <f t="shared" si="2"/>
        <v>26</v>
      </c>
      <c r="C34" s="183" t="s">
        <v>610</v>
      </c>
      <c r="D34" s="183"/>
      <c r="E34" s="183" t="s">
        <v>611</v>
      </c>
      <c r="F34" s="183"/>
      <c r="G34" s="183"/>
      <c r="H34" s="411">
        <f>7072/2</f>
        <v>3536</v>
      </c>
      <c r="I34" s="327">
        <f t="shared" si="4"/>
        <v>3536</v>
      </c>
      <c r="J34" s="327"/>
      <c r="K34" s="258">
        <f t="shared" si="1"/>
        <v>3536</v>
      </c>
      <c r="L34" s="183"/>
      <c r="M34" s="316" t="s">
        <v>619</v>
      </c>
      <c r="N34" t="s">
        <v>730</v>
      </c>
    </row>
    <row r="35" spans="2:14" ht="30" customHeight="1">
      <c r="B35" s="183">
        <f t="shared" si="2"/>
        <v>27</v>
      </c>
      <c r="C35" s="183" t="s">
        <v>540</v>
      </c>
      <c r="D35" s="183" t="s">
        <v>541</v>
      </c>
      <c r="E35" s="183" t="s">
        <v>542</v>
      </c>
      <c r="F35" s="183" t="s">
        <v>543</v>
      </c>
      <c r="G35" s="183" t="e">
        <f>G33</f>
        <v>#REF!</v>
      </c>
      <c r="H35" s="410">
        <f>3536/2</f>
        <v>1768</v>
      </c>
      <c r="I35" s="325">
        <f t="shared" si="4"/>
        <v>1768</v>
      </c>
      <c r="J35" s="325"/>
      <c r="K35" s="258">
        <f t="shared" si="1"/>
        <v>1768</v>
      </c>
      <c r="L35" s="183"/>
    </row>
    <row r="36" spans="2:14" ht="30" customHeight="1">
      <c r="B36" s="183">
        <f t="shared" si="2"/>
        <v>28</v>
      </c>
      <c r="C36" s="566" t="s">
        <v>310</v>
      </c>
      <c r="D36" s="566" t="s">
        <v>544</v>
      </c>
      <c r="E36" s="566" t="s">
        <v>81</v>
      </c>
      <c r="F36" s="566"/>
      <c r="G36" s="566" t="e">
        <f t="shared" si="3"/>
        <v>#REF!</v>
      </c>
      <c r="H36" s="567">
        <f>6746/2</f>
        <v>3373</v>
      </c>
      <c r="I36" s="568">
        <v>0</v>
      </c>
      <c r="J36" s="568"/>
      <c r="K36" s="569">
        <f t="shared" si="1"/>
        <v>0</v>
      </c>
      <c r="L36" s="566"/>
      <c r="M36" s="575" t="s">
        <v>775</v>
      </c>
      <c r="N36" s="575"/>
    </row>
    <row r="37" spans="2:14" ht="30" customHeight="1">
      <c r="B37" s="183">
        <f t="shared" si="2"/>
        <v>29</v>
      </c>
      <c r="C37" s="183" t="s">
        <v>311</v>
      </c>
      <c r="D37" s="183"/>
      <c r="E37" s="183" t="s">
        <v>513</v>
      </c>
      <c r="F37" s="183"/>
      <c r="G37" s="183" t="e">
        <f>G64</f>
        <v>#REF!</v>
      </c>
      <c r="H37" s="410">
        <f>6864/2</f>
        <v>3432</v>
      </c>
      <c r="I37" s="325">
        <f>H37</f>
        <v>3432</v>
      </c>
      <c r="J37" s="327"/>
      <c r="K37" s="258">
        <f t="shared" si="1"/>
        <v>3432</v>
      </c>
      <c r="L37" s="183"/>
    </row>
    <row r="38" spans="2:14" ht="30" customHeight="1">
      <c r="B38" s="183">
        <f t="shared" si="2"/>
        <v>30</v>
      </c>
      <c r="C38" s="183" t="s">
        <v>313</v>
      </c>
      <c r="D38" s="183"/>
      <c r="E38" s="183" t="s">
        <v>494</v>
      </c>
      <c r="F38" s="183"/>
      <c r="G38" s="183" t="e">
        <f>#REF!</f>
        <v>#REF!</v>
      </c>
      <c r="H38" s="410">
        <f>6240/2</f>
        <v>3120</v>
      </c>
      <c r="I38" s="325">
        <f t="shared" si="4"/>
        <v>3120</v>
      </c>
      <c r="J38" s="327"/>
      <c r="K38" s="258">
        <f t="shared" si="1"/>
        <v>3120</v>
      </c>
      <c r="L38" s="183"/>
    </row>
    <row r="39" spans="2:14" ht="30" customHeight="1">
      <c r="B39" s="183">
        <f t="shared" si="2"/>
        <v>31</v>
      </c>
      <c r="C39" s="183" t="s">
        <v>312</v>
      </c>
      <c r="D39" s="183" t="s">
        <v>545</v>
      </c>
      <c r="E39" s="307" t="s">
        <v>546</v>
      </c>
      <c r="F39" s="183" t="s">
        <v>510</v>
      </c>
      <c r="G39" s="183" t="e">
        <f t="shared" si="3"/>
        <v>#REF!</v>
      </c>
      <c r="H39" s="410">
        <f>5824/2</f>
        <v>2912</v>
      </c>
      <c r="I39" s="325">
        <v>3300</v>
      </c>
      <c r="J39" s="325"/>
      <c r="K39" s="258">
        <f t="shared" si="1"/>
        <v>3300</v>
      </c>
      <c r="L39" s="183"/>
    </row>
    <row r="40" spans="2:14" ht="30" customHeight="1">
      <c r="B40" s="183">
        <f t="shared" si="2"/>
        <v>32</v>
      </c>
      <c r="C40" s="183" t="s">
        <v>547</v>
      </c>
      <c r="D40" s="183" t="s">
        <v>548</v>
      </c>
      <c r="E40" s="183" t="s">
        <v>546</v>
      </c>
      <c r="F40" s="183" t="s">
        <v>525</v>
      </c>
      <c r="G40" s="183" t="e">
        <f t="shared" si="3"/>
        <v>#REF!</v>
      </c>
      <c r="H40" s="410">
        <f>4784/2</f>
        <v>2392</v>
      </c>
      <c r="I40" s="325">
        <f t="shared" si="4"/>
        <v>2392</v>
      </c>
      <c r="J40" s="325"/>
      <c r="K40" s="258">
        <f t="shared" si="1"/>
        <v>2392</v>
      </c>
      <c r="L40" s="183"/>
    </row>
    <row r="41" spans="2:14" ht="30" customHeight="1">
      <c r="B41" s="183">
        <f t="shared" si="2"/>
        <v>33</v>
      </c>
      <c r="C41" s="307" t="s">
        <v>549</v>
      </c>
      <c r="D41" s="307"/>
      <c r="E41" s="307" t="s">
        <v>550</v>
      </c>
      <c r="F41" s="307" t="s">
        <v>497</v>
      </c>
      <c r="G41" s="307" t="e">
        <f t="shared" si="3"/>
        <v>#REF!</v>
      </c>
      <c r="H41" s="570">
        <f>6256/2</f>
        <v>3128</v>
      </c>
      <c r="I41" s="571">
        <f t="shared" si="4"/>
        <v>3128</v>
      </c>
      <c r="J41" s="571"/>
      <c r="K41" s="572">
        <f t="shared" si="1"/>
        <v>3128</v>
      </c>
      <c r="L41" s="307"/>
    </row>
    <row r="42" spans="2:14" ht="30" customHeight="1">
      <c r="B42" s="183">
        <f t="shared" si="2"/>
        <v>34</v>
      </c>
      <c r="C42" s="307" t="s">
        <v>766</v>
      </c>
      <c r="D42" s="307"/>
      <c r="E42" s="307" t="s">
        <v>542</v>
      </c>
      <c r="F42" s="307" t="s">
        <v>551</v>
      </c>
      <c r="G42" s="307" t="e">
        <f t="shared" si="3"/>
        <v>#REF!</v>
      </c>
      <c r="H42" s="570">
        <f>3068/2</f>
        <v>1534</v>
      </c>
      <c r="I42" s="571">
        <v>1534</v>
      </c>
      <c r="J42" s="571"/>
      <c r="K42" s="572">
        <f t="shared" si="1"/>
        <v>1534</v>
      </c>
      <c r="L42" s="307"/>
      <c r="M42" t="s">
        <v>767</v>
      </c>
    </row>
    <row r="43" spans="2:14" ht="30" customHeight="1">
      <c r="B43" s="183">
        <f t="shared" si="2"/>
        <v>35</v>
      </c>
      <c r="C43" s="183" t="s">
        <v>577</v>
      </c>
      <c r="D43" s="183"/>
      <c r="E43" s="183" t="s">
        <v>578</v>
      </c>
      <c r="F43" s="183" t="s">
        <v>500</v>
      </c>
      <c r="G43" s="183"/>
      <c r="H43" s="410">
        <f>6240/2</f>
        <v>3120</v>
      </c>
      <c r="I43" s="325">
        <f t="shared" si="4"/>
        <v>3120</v>
      </c>
      <c r="J43" s="325"/>
      <c r="K43" s="258">
        <f t="shared" si="1"/>
        <v>3120</v>
      </c>
      <c r="L43" s="183"/>
    </row>
    <row r="44" spans="2:14" ht="30" customHeight="1">
      <c r="B44" s="183">
        <f t="shared" si="2"/>
        <v>36</v>
      </c>
      <c r="C44" s="183" t="s">
        <v>480</v>
      </c>
      <c r="D44" s="183"/>
      <c r="E44" s="307" t="s">
        <v>552</v>
      </c>
      <c r="F44" s="183" t="s">
        <v>553</v>
      </c>
      <c r="G44" s="183">
        <f t="shared" si="3"/>
        <v>0</v>
      </c>
      <c r="H44" s="410">
        <f>3858/2</f>
        <v>1929</v>
      </c>
      <c r="I44" s="325">
        <f t="shared" si="4"/>
        <v>1929</v>
      </c>
      <c r="J44" s="325"/>
      <c r="K44" s="258">
        <f t="shared" si="1"/>
        <v>1929</v>
      </c>
      <c r="L44" s="183"/>
    </row>
    <row r="45" spans="2:14" ht="30" customHeight="1">
      <c r="B45" s="183">
        <f t="shared" si="2"/>
        <v>37</v>
      </c>
      <c r="C45" s="183" t="s">
        <v>690</v>
      </c>
      <c r="D45" s="183"/>
      <c r="E45" s="183" t="s">
        <v>622</v>
      </c>
      <c r="F45" s="183" t="s">
        <v>621</v>
      </c>
      <c r="G45" s="183"/>
      <c r="H45" s="411"/>
      <c r="I45" s="327">
        <v>3300</v>
      </c>
      <c r="J45" s="327"/>
      <c r="K45" s="258">
        <f t="shared" si="1"/>
        <v>3300</v>
      </c>
      <c r="L45" s="183"/>
      <c r="M45" t="s">
        <v>691</v>
      </c>
      <c r="N45" t="s">
        <v>725</v>
      </c>
    </row>
    <row r="46" spans="2:14" ht="30" customHeight="1">
      <c r="B46" s="183">
        <f t="shared" si="2"/>
        <v>38</v>
      </c>
      <c r="C46" s="183" t="s">
        <v>668</v>
      </c>
      <c r="D46" s="183"/>
      <c r="E46" s="183" t="s">
        <v>669</v>
      </c>
      <c r="F46" s="183"/>
      <c r="G46" s="183"/>
      <c r="H46" s="411"/>
      <c r="I46" s="327">
        <v>6397</v>
      </c>
      <c r="J46" s="327"/>
      <c r="K46" s="258">
        <f t="shared" si="1"/>
        <v>6397</v>
      </c>
      <c r="L46" s="183"/>
      <c r="M46" t="s">
        <v>670</v>
      </c>
      <c r="N46" t="s">
        <v>726</v>
      </c>
    </row>
    <row r="47" spans="2:14" ht="30" customHeight="1">
      <c r="B47" s="183">
        <f t="shared" si="2"/>
        <v>39</v>
      </c>
      <c r="C47" s="183" t="s">
        <v>636</v>
      </c>
      <c r="D47" s="183"/>
      <c r="E47" s="183" t="s">
        <v>637</v>
      </c>
      <c r="F47" s="183"/>
      <c r="G47" s="183"/>
      <c r="H47" s="410">
        <f>7904/2</f>
        <v>3952</v>
      </c>
      <c r="I47" s="325">
        <f t="shared" ref="I47:I50" si="5">H47</f>
        <v>3952</v>
      </c>
      <c r="J47" s="327"/>
      <c r="K47" s="258">
        <f t="shared" si="1"/>
        <v>3952</v>
      </c>
      <c r="L47" s="183"/>
      <c r="M47" t="s">
        <v>747</v>
      </c>
    </row>
    <row r="48" spans="2:14" ht="30" customHeight="1">
      <c r="B48" s="183">
        <f t="shared" si="2"/>
        <v>40</v>
      </c>
      <c r="C48" s="183" t="s">
        <v>658</v>
      </c>
      <c r="D48" s="183"/>
      <c r="E48" s="183" t="s">
        <v>659</v>
      </c>
      <c r="F48" s="183"/>
      <c r="G48" s="183"/>
      <c r="H48" s="410">
        <f>8320/2</f>
        <v>4160</v>
      </c>
      <c r="I48" s="327">
        <f t="shared" si="5"/>
        <v>4160</v>
      </c>
      <c r="J48" s="325"/>
      <c r="K48" s="258">
        <f t="shared" ref="K48:K58" si="6">I48-J48</f>
        <v>4160</v>
      </c>
      <c r="L48" s="183"/>
    </row>
    <row r="49" spans="2:14" ht="30" customHeight="1">
      <c r="B49" s="183">
        <f t="shared" si="2"/>
        <v>41</v>
      </c>
      <c r="C49" s="183" t="s">
        <v>680</v>
      </c>
      <c r="D49" s="183"/>
      <c r="E49" s="183" t="s">
        <v>679</v>
      </c>
      <c r="F49" s="183"/>
      <c r="G49" s="183"/>
      <c r="H49" s="411">
        <f>7488/2</f>
        <v>3744</v>
      </c>
      <c r="I49" s="327">
        <f t="shared" si="5"/>
        <v>3744</v>
      </c>
      <c r="J49" s="327"/>
      <c r="K49" s="258">
        <f t="shared" si="6"/>
        <v>3744</v>
      </c>
      <c r="L49" s="183"/>
      <c r="M49" t="s">
        <v>678</v>
      </c>
      <c r="N49" t="s">
        <v>727</v>
      </c>
    </row>
    <row r="50" spans="2:14" ht="30" customHeight="1">
      <c r="B50" s="183">
        <f t="shared" si="2"/>
        <v>42</v>
      </c>
      <c r="C50" s="183" t="s">
        <v>674</v>
      </c>
      <c r="D50" s="183"/>
      <c r="E50" s="183" t="s">
        <v>260</v>
      </c>
      <c r="F50" s="183" t="s">
        <v>681</v>
      </c>
      <c r="G50" s="183"/>
      <c r="H50" s="411">
        <f>6138/2</f>
        <v>3069</v>
      </c>
      <c r="I50" s="327">
        <f t="shared" si="5"/>
        <v>3069</v>
      </c>
      <c r="J50" s="327"/>
      <c r="K50" s="258">
        <f t="shared" si="6"/>
        <v>3069</v>
      </c>
      <c r="L50" s="183"/>
      <c r="M50" t="s">
        <v>682</v>
      </c>
      <c r="N50" t="s">
        <v>728</v>
      </c>
    </row>
    <row r="51" spans="2:14" ht="30" customHeight="1">
      <c r="B51" s="183">
        <f t="shared" si="2"/>
        <v>43</v>
      </c>
      <c r="C51" s="183" t="s">
        <v>675</v>
      </c>
      <c r="D51" s="183"/>
      <c r="E51" s="183" t="s">
        <v>676</v>
      </c>
      <c r="F51" s="183"/>
      <c r="G51" s="183"/>
      <c r="H51" s="411">
        <f>5880/2</f>
        <v>2940</v>
      </c>
      <c r="I51" s="327">
        <v>3426</v>
      </c>
      <c r="J51" s="327"/>
      <c r="K51" s="258">
        <f t="shared" si="6"/>
        <v>3426</v>
      </c>
      <c r="L51" s="183"/>
      <c r="M51" t="s">
        <v>677</v>
      </c>
      <c r="N51" t="s">
        <v>729</v>
      </c>
    </row>
    <row r="52" spans="2:14" ht="30" customHeight="1">
      <c r="B52" s="183">
        <f t="shared" si="2"/>
        <v>44</v>
      </c>
      <c r="C52" s="183" t="s">
        <v>705</v>
      </c>
      <c r="D52" s="183"/>
      <c r="E52" s="183" t="s">
        <v>669</v>
      </c>
      <c r="F52" s="183"/>
      <c r="G52" s="183"/>
      <c r="H52" s="411"/>
      <c r="I52" s="327">
        <v>6370</v>
      </c>
      <c r="J52" s="327"/>
      <c r="K52" s="258">
        <f t="shared" si="6"/>
        <v>6370</v>
      </c>
      <c r="L52" s="183"/>
      <c r="M52" t="s">
        <v>752</v>
      </c>
    </row>
    <row r="53" spans="2:14" ht="30" customHeight="1">
      <c r="B53" s="183">
        <f t="shared" si="2"/>
        <v>45</v>
      </c>
      <c r="C53" s="183" t="s">
        <v>721</v>
      </c>
      <c r="D53" s="183"/>
      <c r="E53" s="183" t="s">
        <v>253</v>
      </c>
      <c r="F53" s="183"/>
      <c r="G53" s="183"/>
      <c r="H53" s="411"/>
      <c r="I53" s="327">
        <v>3600</v>
      </c>
      <c r="J53" s="327"/>
      <c r="K53" s="258">
        <f t="shared" si="6"/>
        <v>3600</v>
      </c>
      <c r="L53" s="183"/>
      <c r="M53" s="339" t="s">
        <v>751</v>
      </c>
    </row>
    <row r="54" spans="2:14" ht="30" customHeight="1">
      <c r="B54" s="183">
        <f t="shared" si="2"/>
        <v>46</v>
      </c>
      <c r="C54" s="183" t="s">
        <v>734</v>
      </c>
      <c r="D54" s="183"/>
      <c r="E54" s="183" t="s">
        <v>736</v>
      </c>
      <c r="F54" s="183"/>
      <c r="G54" s="183"/>
      <c r="H54" s="411"/>
      <c r="I54" s="327">
        <v>7500</v>
      </c>
      <c r="J54" s="327"/>
      <c r="K54" s="258">
        <f t="shared" si="6"/>
        <v>7500</v>
      </c>
      <c r="L54" s="183"/>
      <c r="M54" t="s">
        <v>739</v>
      </c>
    </row>
    <row r="55" spans="2:14" ht="30" customHeight="1">
      <c r="B55" s="183">
        <f t="shared" si="2"/>
        <v>47</v>
      </c>
      <c r="C55" s="183" t="s">
        <v>735</v>
      </c>
      <c r="D55" s="183"/>
      <c r="E55" s="183" t="s">
        <v>737</v>
      </c>
      <c r="F55" s="183"/>
      <c r="G55" s="183"/>
      <c r="H55" s="411"/>
      <c r="I55" s="327">
        <v>7500</v>
      </c>
      <c r="J55" s="327"/>
      <c r="K55" s="258">
        <f t="shared" si="6"/>
        <v>7500</v>
      </c>
      <c r="L55" s="183"/>
      <c r="M55" t="s">
        <v>706</v>
      </c>
    </row>
    <row r="56" spans="2:14" ht="30" customHeight="1">
      <c r="B56" s="183">
        <f t="shared" si="2"/>
        <v>48</v>
      </c>
      <c r="C56" s="183" t="s">
        <v>744</v>
      </c>
      <c r="D56" s="183"/>
      <c r="E56" s="183" t="s">
        <v>745</v>
      </c>
      <c r="F56" s="183"/>
      <c r="G56" s="183"/>
      <c r="H56" s="411"/>
      <c r="I56" s="327">
        <v>3400</v>
      </c>
      <c r="J56" s="327"/>
      <c r="K56" s="258">
        <f t="shared" si="6"/>
        <v>3400</v>
      </c>
      <c r="L56" s="183"/>
      <c r="M56" t="s">
        <v>750</v>
      </c>
    </row>
    <row r="57" spans="2:14" ht="30" customHeight="1">
      <c r="B57" s="183">
        <f t="shared" si="2"/>
        <v>49</v>
      </c>
      <c r="C57" s="183" t="s">
        <v>762</v>
      </c>
      <c r="D57" s="183"/>
      <c r="E57" s="183" t="s">
        <v>758</v>
      </c>
      <c r="F57" s="183"/>
      <c r="G57" s="183"/>
      <c r="H57" s="411"/>
      <c r="I57" s="327">
        <v>2000</v>
      </c>
      <c r="J57" s="327"/>
      <c r="K57" s="258">
        <f t="shared" si="6"/>
        <v>2000</v>
      </c>
      <c r="L57" s="183"/>
      <c r="M57" t="s">
        <v>759</v>
      </c>
      <c r="N57" t="s">
        <v>760</v>
      </c>
    </row>
    <row r="58" spans="2:14" ht="30" customHeight="1">
      <c r="B58" s="183">
        <f t="shared" si="2"/>
        <v>50</v>
      </c>
      <c r="C58" s="183" t="s">
        <v>765</v>
      </c>
      <c r="D58" s="183"/>
      <c r="E58" s="183" t="s">
        <v>769</v>
      </c>
      <c r="F58" s="183"/>
      <c r="G58" s="183"/>
      <c r="H58" s="411"/>
      <c r="I58" s="327">
        <v>2000</v>
      </c>
      <c r="J58" s="327"/>
      <c r="K58" s="258">
        <f t="shared" si="6"/>
        <v>2000</v>
      </c>
      <c r="L58" s="183"/>
      <c r="M58" t="s">
        <v>768</v>
      </c>
    </row>
    <row r="59" spans="2:14" ht="30" customHeight="1">
      <c r="F59" s="259" t="s">
        <v>58</v>
      </c>
      <c r="G59" s="269" t="s">
        <v>58</v>
      </c>
      <c r="H59" s="412"/>
      <c r="I59" s="328">
        <f>SUM(I9:I58)</f>
        <v>163702.72999999998</v>
      </c>
      <c r="J59" s="328">
        <f>SUM(J9:J58)</f>
        <v>500</v>
      </c>
      <c r="K59" s="270">
        <f>SUM(K9:K58)</f>
        <v>163202.72999999998</v>
      </c>
    </row>
    <row r="60" spans="2:14" ht="17.25" customHeight="1">
      <c r="H60" s="413"/>
      <c r="I60" s="329"/>
      <c r="J60" s="329"/>
      <c r="K60" s="262"/>
    </row>
    <row r="61" spans="2:14" ht="30" customHeight="1">
      <c r="B61" s="183">
        <v>1</v>
      </c>
      <c r="C61" s="183" t="s">
        <v>554</v>
      </c>
      <c r="D61" s="183"/>
      <c r="E61" s="183" t="s">
        <v>555</v>
      </c>
      <c r="F61" s="183" t="s">
        <v>556</v>
      </c>
      <c r="G61" s="183">
        <f>G12</f>
        <v>0</v>
      </c>
      <c r="H61" s="410">
        <f>2206/2</f>
        <v>1103</v>
      </c>
      <c r="I61" s="325">
        <f>H61</f>
        <v>1103</v>
      </c>
      <c r="J61" s="325"/>
      <c r="K61" s="258">
        <f>I61-J61</f>
        <v>1103</v>
      </c>
      <c r="L61" s="183"/>
    </row>
    <row r="62" spans="2:14" ht="30" customHeight="1">
      <c r="B62" s="183">
        <v>2</v>
      </c>
      <c r="C62" s="183" t="s">
        <v>626</v>
      </c>
      <c r="D62" s="183" t="s">
        <v>557</v>
      </c>
      <c r="E62" s="183" t="s">
        <v>558</v>
      </c>
      <c r="F62" s="183" t="s">
        <v>500</v>
      </c>
      <c r="G62" s="183">
        <f>G17</f>
        <v>0</v>
      </c>
      <c r="H62" s="410">
        <f>2310/2</f>
        <v>1155</v>
      </c>
      <c r="I62" s="325">
        <f>H62</f>
        <v>1155</v>
      </c>
      <c r="J62" s="325"/>
      <c r="K62" s="258">
        <f t="shared" ref="K62:K65" si="7">I62-J62</f>
        <v>1155</v>
      </c>
      <c r="L62" s="183"/>
    </row>
    <row r="63" spans="2:14" ht="30" customHeight="1">
      <c r="B63" s="183">
        <v>3</v>
      </c>
      <c r="C63" s="183" t="s">
        <v>684</v>
      </c>
      <c r="D63" s="183" t="s">
        <v>559</v>
      </c>
      <c r="E63" s="183" t="s">
        <v>558</v>
      </c>
      <c r="F63" s="183" t="s">
        <v>500</v>
      </c>
      <c r="G63" s="183">
        <f>G62</f>
        <v>0</v>
      </c>
      <c r="H63" s="410">
        <f>2310/2</f>
        <v>1155</v>
      </c>
      <c r="I63" s="325">
        <f>H63</f>
        <v>1155</v>
      </c>
      <c r="J63" s="325"/>
      <c r="K63" s="258">
        <f t="shared" si="7"/>
        <v>1155</v>
      </c>
      <c r="L63" s="183"/>
      <c r="M63" t="s">
        <v>683</v>
      </c>
      <c r="N63" t="s">
        <v>731</v>
      </c>
    </row>
    <row r="64" spans="2:14" ht="30" customHeight="1">
      <c r="B64" s="183">
        <v>4</v>
      </c>
      <c r="C64" s="183" t="s">
        <v>560</v>
      </c>
      <c r="D64" s="183" t="s">
        <v>561</v>
      </c>
      <c r="E64" s="183" t="s">
        <v>562</v>
      </c>
      <c r="F64" s="183"/>
      <c r="G64" s="183" t="e">
        <f>#REF!</f>
        <v>#REF!</v>
      </c>
      <c r="H64" s="410">
        <f>2100/2</f>
        <v>1050</v>
      </c>
      <c r="I64" s="325">
        <f>H64</f>
        <v>1050</v>
      </c>
      <c r="J64" s="325"/>
      <c r="K64" s="258">
        <f t="shared" si="7"/>
        <v>1050</v>
      </c>
      <c r="L64" s="183"/>
    </row>
    <row r="65" spans="2:12" ht="30" customHeight="1">
      <c r="B65" s="183">
        <v>5</v>
      </c>
      <c r="C65" s="183" t="s">
        <v>481</v>
      </c>
      <c r="D65" s="183" t="s">
        <v>563</v>
      </c>
      <c r="E65" s="183" t="s">
        <v>564</v>
      </c>
      <c r="F65" s="183" t="s">
        <v>551</v>
      </c>
      <c r="G65" s="183" t="e">
        <f>#REF!</f>
        <v>#REF!</v>
      </c>
      <c r="H65" s="410">
        <f>2142/2</f>
        <v>1071</v>
      </c>
      <c r="I65" s="325">
        <f>H65</f>
        <v>1071</v>
      </c>
      <c r="J65" s="325"/>
      <c r="K65" s="258">
        <f t="shared" si="7"/>
        <v>1071</v>
      </c>
      <c r="L65" s="183"/>
    </row>
    <row r="66" spans="2:12" ht="30" customHeight="1">
      <c r="F66" s="263" t="s">
        <v>565</v>
      </c>
      <c r="G66" s="260" t="s">
        <v>58</v>
      </c>
      <c r="H66" s="414"/>
      <c r="I66" s="330">
        <f>SUM(I61:I65)</f>
        <v>5534</v>
      </c>
      <c r="J66" s="330">
        <f>SUM(J61:J65)</f>
        <v>0</v>
      </c>
      <c r="K66" s="261">
        <f>SUM(K61:K65)</f>
        <v>5534</v>
      </c>
    </row>
    <row r="67" spans="2:12" ht="13.5" customHeight="1" thickBot="1">
      <c r="B67" s="248"/>
      <c r="C67" s="248"/>
      <c r="D67" s="248"/>
      <c r="E67" s="248"/>
      <c r="F67" s="264"/>
      <c r="G67" s="264"/>
      <c r="H67" s="415"/>
      <c r="I67" s="331"/>
      <c r="J67" s="331"/>
      <c r="K67" s="265"/>
      <c r="L67" s="248"/>
    </row>
    <row r="68" spans="2:12" ht="25.5" customHeight="1" thickTop="1">
      <c r="F68" s="266" t="s">
        <v>58</v>
      </c>
      <c r="G68" s="267" t="s">
        <v>58</v>
      </c>
      <c r="H68" s="416"/>
      <c r="I68" s="336">
        <f>I59+I66</f>
        <v>169236.72999999998</v>
      </c>
      <c r="J68" s="268">
        <f>SUM(J59+J66)</f>
        <v>500</v>
      </c>
      <c r="K68" s="268">
        <f>SUM(K59+K66)</f>
        <v>168736.72999999998</v>
      </c>
    </row>
    <row r="69" spans="2:12">
      <c r="H69" s="413"/>
      <c r="I69" s="329"/>
      <c r="J69" s="329"/>
      <c r="K69" s="262"/>
    </row>
    <row r="70" spans="2:12">
      <c r="H70" s="413"/>
      <c r="I70" s="329"/>
      <c r="J70" s="329"/>
      <c r="K70" s="262"/>
    </row>
    <row r="71" spans="2:12">
      <c r="H71" s="413"/>
      <c r="I71" s="329"/>
      <c r="J71" s="329"/>
      <c r="K71" s="262"/>
    </row>
    <row r="72" spans="2:12">
      <c r="H72" s="413"/>
      <c r="I72" s="329"/>
      <c r="J72" s="329"/>
      <c r="K72" s="262"/>
    </row>
    <row r="73" spans="2:12">
      <c r="C73" s="226"/>
      <c r="H73" s="413"/>
      <c r="I73" s="329"/>
      <c r="J73" s="329"/>
      <c r="K73" s="262"/>
    </row>
    <row r="74" spans="2:12">
      <c r="H74" s="413"/>
      <c r="I74" s="329"/>
      <c r="J74" s="329"/>
      <c r="K74" s="262"/>
    </row>
    <row r="75" spans="2:12">
      <c r="H75" s="413"/>
      <c r="I75" s="329"/>
      <c r="J75" s="329"/>
      <c r="K75" s="262"/>
    </row>
    <row r="79" spans="2:12">
      <c r="K79" s="253">
        <f>I68-J68</f>
        <v>168736.72999999998</v>
      </c>
    </row>
    <row r="80" spans="2:12">
      <c r="K80" s="253">
        <f>K68-K79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2020-11-13T18:52:33Z</cp:lastPrinted>
  <dcterms:created xsi:type="dcterms:W3CDTF">2018-09-24T18:29:12Z</dcterms:created>
  <dcterms:modified xsi:type="dcterms:W3CDTF">2023-08-09T19:53:18Z</dcterms:modified>
</cp:coreProperties>
</file>