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E:\NOMINAS 2021\Nominas del mes de Enero 2021\"/>
    </mc:Choice>
  </mc:AlternateContent>
  <xr:revisionPtr revIDLastSave="0" documentId="13_ncr:1_{7B76870C-1E5F-4731-8DC9-E7165B744A69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REGIDORES" sheetId="5" r:id="rId1"/>
    <sheet name="BASE" sheetId="2" r:id="rId2"/>
    <sheet name="SEGU-PBCA" sheetId="6" r:id="rId3"/>
    <sheet name="P-CIVIL" sheetId="4" r:id="rId4"/>
    <sheet name="NOMINA TRAB.EVENTUALES" sheetId="3" r:id="rId5"/>
    <sheet name="PAGO SEMANAL" sheetId="9" state="hidden" r:id="rId6"/>
    <sheet name="PENSION POR JUBILACION" sheetId="16" r:id="rId7"/>
    <sheet name="NOMINA PENSIONADOS" sheetId="11" r:id="rId8"/>
    <sheet name="NOMINA ORD. DE PAGO QUINCENAL" sheetId="14" r:id="rId9"/>
    <sheet name="PAGO TRAB.MENSUALES" sheetId="8" state="hidden" r:id="rId10"/>
    <sheet name="CASA DE CULTURA " sheetId="15" state="hidden" r:id="rId11"/>
    <sheet name="TOTAL DE PAGOS 2DAQUIN.OCTUBRE" sheetId="13" state="hidden" r:id="rId12"/>
  </sheets>
  <definedNames>
    <definedName name="_xlnm.Print_Area" localSheetId="1">BASE!$B$2:$N$201</definedName>
    <definedName name="_xlnm.Print_Area" localSheetId="10">'CASA DE CULTURA '!$B$1:$O$20</definedName>
    <definedName name="_xlnm.Print_Area" localSheetId="8">'NOMINA ORD. DE PAGO QUINCENAL'!$A$1:$L$74</definedName>
    <definedName name="_xlnm.Print_Area" localSheetId="7">'NOMINA PENSIONADOS'!$B$2:$L$21</definedName>
    <definedName name="_xlnm.Print_Area" localSheetId="4">'NOMINA TRAB.EVENTUALES'!$A$2:$S$40</definedName>
    <definedName name="_xlnm.Print_Area" localSheetId="9">'PAGO TRAB.MENSUALES'!$C$2:$K$33</definedName>
    <definedName name="_xlnm.Print_Area" localSheetId="3">'P-CIVIL'!$A$1:$Q$32</definedName>
    <definedName name="_xlnm.Print_Area" localSheetId="6">'PENSION POR JUBILACION'!$B$2:$K$21</definedName>
    <definedName name="_xlnm.Print_Area" localSheetId="0">REGIDORES!$B$2:$M$24</definedName>
    <definedName name="_xlnm.Print_Area" localSheetId="2">'SEGU-PBCA'!$B$2:$Q$47</definedName>
    <definedName name="_xlnm.Print_Area" localSheetId="11">'TOTAL DE PAGOS 2DAQUIN.OCTUBRE'!$A$2:$B$21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" i="14" l="1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B55" i="14" s="1"/>
  <c r="B56" i="14" s="1"/>
  <c r="B59" i="14" s="1"/>
  <c r="B60" i="14" s="1"/>
  <c r="B61" i="14" s="1"/>
  <c r="B62" i="14" s="1"/>
  <c r="B63" i="14" s="1"/>
  <c r="K10" i="11"/>
  <c r="N27" i="4" l="1"/>
  <c r="O26" i="4"/>
  <c r="L26" i="4"/>
  <c r="P26" i="4" s="1"/>
  <c r="G15" i="11" l="1"/>
  <c r="F14" i="16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L90" i="2" l="1"/>
  <c r="E10" i="9" l="1"/>
  <c r="G10" i="9" s="1"/>
  <c r="D9" i="9"/>
  <c r="E9" i="9" s="1"/>
  <c r="G9" i="9" s="1"/>
  <c r="D10" i="9"/>
  <c r="D8" i="9"/>
  <c r="E8" i="9" s="1"/>
  <c r="G8" i="9" s="1"/>
  <c r="G11" i="9" s="1"/>
  <c r="O25" i="4" l="1"/>
  <c r="P25" i="4" l="1"/>
  <c r="L38" i="2" l="1"/>
  <c r="O24" i="6" l="1"/>
  <c r="F10" i="16" l="1"/>
  <c r="F16" i="16" s="1"/>
  <c r="Q11" i="3"/>
  <c r="K16" i="5"/>
  <c r="L16" i="5" s="1"/>
  <c r="J57" i="14" l="1"/>
  <c r="I57" i="14"/>
  <c r="K56" i="14"/>
  <c r="J13" i="16" l="1"/>
  <c r="N13" i="16" l="1"/>
  <c r="L182" i="2"/>
  <c r="B13" i="4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N10" i="16"/>
  <c r="N11" i="16" s="1"/>
  <c r="N12" i="16" s="1"/>
  <c r="J12" i="16"/>
  <c r="J14" i="16" s="1"/>
  <c r="G14" i="16"/>
  <c r="G10" i="16"/>
  <c r="G16" i="16" s="1"/>
  <c r="R28" i="16"/>
  <c r="H16" i="16"/>
  <c r="E16" i="16"/>
  <c r="I12" i="16"/>
  <c r="I14" i="16" s="1"/>
  <c r="I9" i="16"/>
  <c r="J9" i="16"/>
  <c r="I8" i="16"/>
  <c r="B13" i="6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L135" i="2"/>
  <c r="L61" i="2"/>
  <c r="L52" i="2"/>
  <c r="L165" i="2"/>
  <c r="I10" i="16" l="1"/>
  <c r="I16" i="16" s="1"/>
  <c r="J23" i="16"/>
  <c r="J8" i="16"/>
  <c r="J10" i="16" s="1"/>
  <c r="J16" i="16" s="1"/>
  <c r="J24" i="16" l="1"/>
  <c r="M15" i="15" l="1"/>
  <c r="K15" i="15"/>
  <c r="J15" i="15"/>
  <c r="H15" i="15"/>
  <c r="I14" i="15"/>
  <c r="L14" i="15" s="1"/>
  <c r="N14" i="15" s="1"/>
  <c r="I13" i="15"/>
  <c r="L13" i="15" s="1"/>
  <c r="N13" i="15" s="1"/>
  <c r="I12" i="15"/>
  <c r="L12" i="15" s="1"/>
  <c r="N12" i="15" s="1"/>
  <c r="I11" i="15"/>
  <c r="L11" i="15" s="1"/>
  <c r="N11" i="15" s="1"/>
  <c r="I10" i="15"/>
  <c r="L10" i="15" s="1"/>
  <c r="N10" i="15" s="1"/>
  <c r="I9" i="15"/>
  <c r="L9" i="15" s="1"/>
  <c r="N9" i="15" s="1"/>
  <c r="I8" i="15"/>
  <c r="L8" i="15" s="1"/>
  <c r="N8" i="15" s="1"/>
  <c r="I7" i="15"/>
  <c r="I15" i="15" l="1"/>
  <c r="L22" i="15" s="1"/>
  <c r="L7" i="15"/>
  <c r="L15" i="15" l="1"/>
  <c r="N7" i="15"/>
  <c r="N15" i="15" s="1"/>
  <c r="L23" i="15" l="1"/>
  <c r="N22" i="15"/>
  <c r="O36" i="6" l="1"/>
  <c r="P36" i="6" s="1"/>
  <c r="O35" i="6"/>
  <c r="P35" i="6" s="1"/>
  <c r="O34" i="6"/>
  <c r="P34" i="6" s="1"/>
  <c r="L24" i="13" l="1"/>
  <c r="B15" i="13"/>
  <c r="B10" i="13"/>
  <c r="B11" i="13"/>
  <c r="C17" i="13"/>
  <c r="B17" i="13" s="1"/>
  <c r="K15" i="14" l="1"/>
  <c r="O33" i="6"/>
  <c r="P33" i="6" s="1"/>
  <c r="K55" i="14" l="1"/>
  <c r="O32" i="6" l="1"/>
  <c r="P32" i="6" s="1"/>
  <c r="K54" i="14" l="1"/>
  <c r="J30" i="8" l="1"/>
  <c r="J27" i="8"/>
  <c r="J18" i="8"/>
  <c r="O31" i="6"/>
  <c r="P31" i="6" s="1"/>
  <c r="J32" i="8" l="1"/>
  <c r="C14" i="13" s="1"/>
  <c r="B14" i="13" s="1"/>
  <c r="K53" i="14"/>
  <c r="K52" i="14" l="1"/>
  <c r="K51" i="14"/>
  <c r="O30" i="6"/>
  <c r="P30" i="6" s="1"/>
  <c r="K50" i="14" l="1"/>
  <c r="K194" i="2" l="1"/>
  <c r="J194" i="2"/>
  <c r="G194" i="2"/>
  <c r="L193" i="2"/>
  <c r="L194" i="2" s="1"/>
  <c r="E193" i="2"/>
  <c r="H193" i="2" l="1"/>
  <c r="H194" i="2" s="1"/>
  <c r="F194" i="2"/>
  <c r="M193" i="2"/>
  <c r="M194" i="2" s="1"/>
  <c r="O29" i="6" l="1"/>
  <c r="P29" i="6" s="1"/>
  <c r="P26" i="6" l="1"/>
  <c r="K49" i="14" l="1"/>
  <c r="O24" i="4" l="1"/>
  <c r="P24" i="4" s="1"/>
  <c r="J15" i="3" l="1"/>
  <c r="H48" i="14"/>
  <c r="J22" i="3"/>
  <c r="E151" i="2"/>
  <c r="E121" i="2"/>
  <c r="K13" i="11" l="1"/>
  <c r="K14" i="11"/>
  <c r="K11" i="11"/>
  <c r="E45" i="2"/>
  <c r="G24" i="6" l="1"/>
  <c r="P24" i="6" l="1"/>
  <c r="H63" i="14"/>
  <c r="H62" i="14"/>
  <c r="H61" i="14"/>
  <c r="H60" i="14"/>
  <c r="H59" i="14"/>
  <c r="H47" i="14"/>
  <c r="H46" i="14"/>
  <c r="H45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4" i="14"/>
  <c r="K14" i="14" s="1"/>
  <c r="H13" i="14"/>
  <c r="H12" i="14"/>
  <c r="H11" i="14"/>
  <c r="H10" i="14"/>
  <c r="H9" i="14"/>
  <c r="J34" i="3"/>
  <c r="J33" i="3"/>
  <c r="J32" i="3"/>
  <c r="J31" i="3"/>
  <c r="J30" i="3"/>
  <c r="J29" i="3"/>
  <c r="J28" i="3"/>
  <c r="J27" i="3"/>
  <c r="J26" i="3"/>
  <c r="J25" i="3"/>
  <c r="J24" i="3"/>
  <c r="J23" i="3"/>
  <c r="Q21" i="3"/>
  <c r="R21" i="3" s="1"/>
  <c r="J21" i="3"/>
  <c r="J20" i="3"/>
  <c r="J19" i="3"/>
  <c r="J18" i="3"/>
  <c r="J17" i="3"/>
  <c r="J14" i="3"/>
  <c r="J13" i="3"/>
  <c r="J12" i="3"/>
  <c r="M11" i="3"/>
  <c r="R11" i="3" s="1"/>
  <c r="J11" i="3"/>
  <c r="H23" i="4"/>
  <c r="H22" i="4"/>
  <c r="H21" i="4"/>
  <c r="H14" i="4"/>
  <c r="H15" i="4"/>
  <c r="H16" i="4"/>
  <c r="H17" i="4"/>
  <c r="H18" i="4"/>
  <c r="H19" i="4"/>
  <c r="H20" i="4"/>
  <c r="H12" i="4"/>
  <c r="G37" i="6"/>
  <c r="G28" i="6"/>
  <c r="G27" i="6"/>
  <c r="G26" i="6"/>
  <c r="G23" i="6"/>
  <c r="G22" i="6"/>
  <c r="G21" i="6"/>
  <c r="G20" i="6"/>
  <c r="G19" i="6"/>
  <c r="G18" i="6"/>
  <c r="G17" i="6"/>
  <c r="G16" i="6"/>
  <c r="G15" i="6"/>
  <c r="G14" i="6"/>
  <c r="G13" i="6"/>
  <c r="G12" i="6"/>
  <c r="E17" i="2"/>
  <c r="E13" i="2"/>
  <c r="E12" i="2"/>
  <c r="E8" i="2"/>
  <c r="E7" i="2"/>
  <c r="E187" i="2"/>
  <c r="J27" i="4" l="1"/>
  <c r="H182" i="2"/>
  <c r="M182" i="2" s="1"/>
  <c r="E182" i="2"/>
  <c r="E176" i="2"/>
  <c r="H176" i="2" s="1"/>
  <c r="E170" i="2"/>
  <c r="H170" i="2" s="1"/>
  <c r="E165" i="2"/>
  <c r="H165" i="2" s="1"/>
  <c r="M165" i="2" s="1"/>
  <c r="H157" i="2"/>
  <c r="E157" i="2"/>
  <c r="E152" i="2"/>
  <c r="H152" i="2" s="1"/>
  <c r="H151" i="2"/>
  <c r="E139" i="2"/>
  <c r="E138" i="2"/>
  <c r="E137" i="2"/>
  <c r="E136" i="2"/>
  <c r="E135" i="2"/>
  <c r="E134" i="2"/>
  <c r="E133" i="2"/>
  <c r="H133" i="2" s="1"/>
  <c r="H121" i="2"/>
  <c r="E120" i="2"/>
  <c r="E115" i="2"/>
  <c r="H115" i="2" s="1"/>
  <c r="H114" i="2" l="1"/>
  <c r="E114" i="2"/>
  <c r="E113" i="2" l="1"/>
  <c r="E112" i="2"/>
  <c r="H112" i="2" s="1"/>
  <c r="E111" i="2"/>
  <c r="H111" i="2" s="1"/>
  <c r="E102" i="2"/>
  <c r="H102" i="2" s="1"/>
  <c r="E92" i="2"/>
  <c r="H92" i="2" s="1"/>
  <c r="H91" i="2"/>
  <c r="E91" i="2"/>
  <c r="E90" i="2"/>
  <c r="H90" i="2" s="1"/>
  <c r="M90" i="2" s="1"/>
  <c r="E89" i="2"/>
  <c r="H89" i="2" s="1"/>
  <c r="E88" i="2"/>
  <c r="H88" i="2" s="1"/>
  <c r="E87" i="2"/>
  <c r="H87" i="2" s="1"/>
  <c r="E86" i="2"/>
  <c r="H86" i="2" s="1"/>
  <c r="E85" i="2"/>
  <c r="H85" i="2" s="1"/>
  <c r="E74" i="2"/>
  <c r="H74" i="2" s="1"/>
  <c r="L69" i="2"/>
  <c r="E69" i="2"/>
  <c r="H69" i="2" s="1"/>
  <c r="E68" i="2"/>
  <c r="H68" i="2" s="1"/>
  <c r="E97" i="2"/>
  <c r="H97" i="2" s="1"/>
  <c r="H45" i="2"/>
  <c r="E67" i="2"/>
  <c r="H67" i="2" s="1"/>
  <c r="E62" i="2"/>
  <c r="H62" i="2" s="1"/>
  <c r="E61" i="2"/>
  <c r="H61" i="2" s="1"/>
  <c r="M61" i="2" s="1"/>
  <c r="K53" i="2"/>
  <c r="E52" i="2"/>
  <c r="H52" i="2" s="1"/>
  <c r="M52" i="2" s="1"/>
  <c r="E51" i="2"/>
  <c r="H51" i="2" s="1"/>
  <c r="E46" i="2"/>
  <c r="H46" i="2" s="1"/>
  <c r="E44" i="2"/>
  <c r="H44" i="2" s="1"/>
  <c r="E43" i="2"/>
  <c r="H43" i="2" s="1"/>
  <c r="E38" i="2"/>
  <c r="H38" i="2" s="1"/>
  <c r="E37" i="2"/>
  <c r="H37" i="2" s="1"/>
  <c r="H33" i="2"/>
  <c r="E33" i="2"/>
  <c r="H32" i="2"/>
  <c r="E32" i="2"/>
  <c r="E23" i="2"/>
  <c r="H23" i="2" s="1"/>
  <c r="H17" i="2"/>
  <c r="H13" i="2"/>
  <c r="H12" i="2"/>
  <c r="H8" i="2"/>
  <c r="M69" i="2" l="1"/>
  <c r="H7" i="2"/>
  <c r="K31" i="14" l="1"/>
  <c r="K47" i="14" l="1"/>
  <c r="K46" i="14" l="1"/>
  <c r="K48" i="14" l="1"/>
  <c r="J122" i="2" l="1"/>
  <c r="H17" i="13" l="1"/>
  <c r="H18" i="13" s="1"/>
  <c r="O28" i="6" l="1"/>
  <c r="P28" i="6" l="1"/>
  <c r="O35" i="3"/>
  <c r="J64" i="14" l="1"/>
  <c r="J66" i="14" s="1"/>
  <c r="K122" i="2" l="1"/>
  <c r="F122" i="2"/>
  <c r="H120" i="2"/>
  <c r="L120" i="2"/>
  <c r="H122" i="2" l="1"/>
  <c r="M120" i="2"/>
  <c r="K60" i="14" l="1"/>
  <c r="K61" i="14"/>
  <c r="K62" i="14"/>
  <c r="K63" i="14"/>
  <c r="K59" i="14"/>
  <c r="K10" i="14"/>
  <c r="K11" i="14"/>
  <c r="K12" i="14"/>
  <c r="K13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2" i="14"/>
  <c r="K33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9" i="14"/>
  <c r="I64" i="14"/>
  <c r="I66" i="14" s="1"/>
  <c r="C13" i="13" s="1"/>
  <c r="B13" i="13" s="1"/>
  <c r="K57" i="14" l="1"/>
  <c r="K64" i="14"/>
  <c r="K77" i="14"/>
  <c r="K66" i="14" l="1"/>
  <c r="N38" i="6"/>
  <c r="K78" i="14" l="1"/>
  <c r="U35" i="3"/>
  <c r="H47" i="2" l="1"/>
  <c r="J47" i="2"/>
  <c r="K47" i="2"/>
  <c r="G188" i="2" l="1"/>
  <c r="J188" i="2"/>
  <c r="G183" i="2"/>
  <c r="K93" i="2" l="1"/>
  <c r="L92" i="2"/>
  <c r="M92" i="2" s="1"/>
  <c r="H93" i="2"/>
  <c r="G93" i="2"/>
  <c r="F93" i="2"/>
  <c r="L45" i="2" l="1"/>
  <c r="M45" i="2" s="1"/>
  <c r="H113" i="2" l="1"/>
  <c r="L9" i="5" l="1"/>
  <c r="L10" i="5"/>
  <c r="L11" i="5"/>
  <c r="L12" i="5"/>
  <c r="L13" i="5"/>
  <c r="L14" i="5"/>
  <c r="L15" i="5"/>
  <c r="L17" i="5"/>
  <c r="L8" i="5"/>
  <c r="I18" i="5"/>
  <c r="L18" i="5" l="1"/>
  <c r="J9" i="2"/>
  <c r="J14" i="2"/>
  <c r="J18" i="2"/>
  <c r="J24" i="2"/>
  <c r="J34" i="2"/>
  <c r="J39" i="2"/>
  <c r="J53" i="2"/>
  <c r="J63" i="2"/>
  <c r="J70" i="2"/>
  <c r="J75" i="2"/>
  <c r="J93" i="2"/>
  <c r="J98" i="2"/>
  <c r="J103" i="2"/>
  <c r="J116" i="2"/>
  <c r="J140" i="2"/>
  <c r="J153" i="2"/>
  <c r="J158" i="2"/>
  <c r="J171" i="2"/>
  <c r="J166" i="2"/>
  <c r="J177" i="2"/>
  <c r="J183" i="2"/>
  <c r="J196" i="2" l="1"/>
  <c r="H187" i="2" l="1"/>
  <c r="H188" i="2" s="1"/>
  <c r="F188" i="2"/>
  <c r="K188" i="2"/>
  <c r="L187" i="2"/>
  <c r="L188" i="2" l="1"/>
  <c r="M187" i="2"/>
  <c r="M188" i="2" s="1"/>
  <c r="O188" i="2" s="1"/>
  <c r="I38" i="6"/>
  <c r="L38" i="6"/>
  <c r="E13" i="13" l="1"/>
  <c r="F14" i="13"/>
  <c r="K63" i="2" l="1"/>
  <c r="K70" i="2"/>
  <c r="K177" i="2"/>
  <c r="K183" i="2"/>
  <c r="K35" i="3" l="1"/>
  <c r="M35" i="3"/>
  <c r="C12" i="13" s="1"/>
  <c r="B12" i="13" s="1"/>
  <c r="P35" i="3"/>
  <c r="D18" i="5" l="1"/>
  <c r="P2" i="2" l="1"/>
  <c r="P3" i="2"/>
  <c r="P4" i="2"/>
  <c r="K171" i="2"/>
  <c r="K166" i="2"/>
  <c r="K158" i="2"/>
  <c r="K153" i="2"/>
  <c r="K140" i="2"/>
  <c r="K116" i="2"/>
  <c r="K103" i="2"/>
  <c r="K98" i="2"/>
  <c r="K75" i="2"/>
  <c r="H70" i="2"/>
  <c r="K39" i="2"/>
  <c r="K34" i="2"/>
  <c r="K24" i="2"/>
  <c r="K18" i="2"/>
  <c r="K14" i="2"/>
  <c r="K9" i="2"/>
  <c r="H9" i="2"/>
  <c r="I183" i="2"/>
  <c r="L183" i="2"/>
  <c r="F14" i="2"/>
  <c r="H14" i="2"/>
  <c r="I14" i="2"/>
  <c r="G18" i="5"/>
  <c r="K12" i="6"/>
  <c r="Q17" i="3"/>
  <c r="R17" i="3" s="1"/>
  <c r="L44" i="2"/>
  <c r="M44" i="2" s="1"/>
  <c r="C8" i="13" l="1"/>
  <c r="B8" i="13" s="1"/>
  <c r="L27" i="5"/>
  <c r="L28" i="5" s="1"/>
  <c r="K196" i="2"/>
  <c r="H183" i="2"/>
  <c r="O183" i="2" s="1"/>
  <c r="H177" i="2"/>
  <c r="H171" i="2"/>
  <c r="H166" i="2"/>
  <c r="H158" i="2"/>
  <c r="H153" i="2"/>
  <c r="H116" i="2"/>
  <c r="H103" i="2"/>
  <c r="H98" i="2"/>
  <c r="H75" i="2"/>
  <c r="H63" i="2"/>
  <c r="H53" i="2"/>
  <c r="H39" i="2"/>
  <c r="H34" i="2"/>
  <c r="H18" i="2"/>
  <c r="F183" i="2" l="1"/>
  <c r="F47" i="2"/>
  <c r="F24" i="2"/>
  <c r="F9" i="2"/>
  <c r="F18" i="2"/>
  <c r="F63" i="2" l="1"/>
  <c r="M183" i="2"/>
  <c r="P183" i="2" l="1"/>
  <c r="E8" i="13"/>
  <c r="M27" i="4"/>
  <c r="O23" i="4"/>
  <c r="P23" i="4" l="1"/>
  <c r="H24" i="2"/>
  <c r="U17" i="6" l="1"/>
  <c r="V17" i="6" s="1"/>
  <c r="U21" i="6"/>
  <c r="V21" i="6" s="1"/>
  <c r="G9" i="14" l="1"/>
  <c r="G10" i="14" s="1"/>
  <c r="G11" i="14" s="1"/>
  <c r="G12" i="14" s="1"/>
  <c r="G59" i="14" s="1"/>
  <c r="G13" i="14" s="1"/>
  <c r="G14" i="14" s="1"/>
  <c r="G15" i="14" s="1"/>
  <c r="G16" i="14" s="1"/>
  <c r="G17" i="14" s="1"/>
  <c r="G60" i="14" s="1"/>
  <c r="G61" i="14" s="1"/>
  <c r="G18" i="14" s="1"/>
  <c r="G19" i="14" s="1"/>
  <c r="G20" i="14" s="1"/>
  <c r="G21" i="14" s="1"/>
  <c r="G22" i="14" s="1"/>
  <c r="G23" i="14" s="1"/>
  <c r="G24" i="14" s="1"/>
  <c r="G25" i="14" s="1"/>
  <c r="G26" i="14" s="1"/>
  <c r="G27" i="14" s="1"/>
  <c r="G28" i="14" s="1"/>
  <c r="G29" i="14" s="1"/>
  <c r="G30" i="14" s="1"/>
  <c r="G31" i="14" s="1"/>
  <c r="G32" i="14" l="1"/>
  <c r="G34" i="14" s="1"/>
  <c r="G62" i="14" s="1"/>
  <c r="G35" i="14" s="1"/>
  <c r="G36" i="14" s="1"/>
  <c r="G37" i="14" s="1"/>
  <c r="G38" i="14" s="1"/>
  <c r="G39" i="14" s="1"/>
  <c r="G40" i="14" s="1"/>
  <c r="G42" i="14" s="1"/>
  <c r="F17" i="13"/>
  <c r="F18" i="13" s="1"/>
  <c r="G63" i="14" l="1"/>
  <c r="L43" i="2"/>
  <c r="M43" i="2" l="1"/>
  <c r="O25" i="6"/>
  <c r="I171" i="2" l="1"/>
  <c r="G171" i="2"/>
  <c r="F171" i="2"/>
  <c r="A73" i="13" l="1"/>
  <c r="L170" i="2" l="1"/>
  <c r="L176" i="2"/>
  <c r="F177" i="2"/>
  <c r="G177" i="2"/>
  <c r="I177" i="2"/>
  <c r="L171" i="2" l="1"/>
  <c r="O171" i="2" s="1"/>
  <c r="M170" i="2"/>
  <c r="L177" i="2"/>
  <c r="O177" i="2" s="1"/>
  <c r="M176" i="2"/>
  <c r="R27" i="11"/>
  <c r="I15" i="11"/>
  <c r="H15" i="11"/>
  <c r="K22" i="11" s="1"/>
  <c r="F15" i="11"/>
  <c r="D15" i="11"/>
  <c r="J14" i="11"/>
  <c r="J13" i="11"/>
  <c r="K12" i="11"/>
  <c r="J12" i="11"/>
  <c r="J11" i="11"/>
  <c r="J10" i="11"/>
  <c r="K9" i="11"/>
  <c r="J9" i="11"/>
  <c r="K8" i="11"/>
  <c r="J8" i="11"/>
  <c r="K15" i="11" l="1"/>
  <c r="C16" i="13"/>
  <c r="B16" i="13" s="1"/>
  <c r="M177" i="2"/>
  <c r="P177" i="2" s="1"/>
  <c r="M171" i="2"/>
  <c r="P171" i="2" s="1"/>
  <c r="J15" i="11"/>
  <c r="K23" i="11" l="1"/>
  <c r="C11" i="9"/>
  <c r="G15" i="13" l="1"/>
  <c r="O26" i="6"/>
  <c r="P25" i="6"/>
  <c r="G18" i="13" l="1"/>
  <c r="O23" i="6"/>
  <c r="P23" i="6" l="1"/>
  <c r="S30" i="5" l="1"/>
  <c r="J38" i="6" l="1"/>
  <c r="O27" i="6"/>
  <c r="O37" i="6"/>
  <c r="P37" i="6" s="1"/>
  <c r="O21" i="4" l="1"/>
  <c r="O22" i="4"/>
  <c r="P22" i="4" l="1"/>
  <c r="P21" i="4"/>
  <c r="P27" i="6"/>
  <c r="O22" i="6"/>
  <c r="O21" i="6"/>
  <c r="O20" i="6"/>
  <c r="O19" i="6"/>
  <c r="O18" i="6"/>
  <c r="O17" i="6"/>
  <c r="O16" i="6"/>
  <c r="O15" i="6"/>
  <c r="K15" i="6"/>
  <c r="O14" i="6"/>
  <c r="K14" i="6"/>
  <c r="O13" i="6"/>
  <c r="K13" i="6"/>
  <c r="O12" i="6"/>
  <c r="H18" i="5"/>
  <c r="F18" i="5"/>
  <c r="K17" i="5"/>
  <c r="K15" i="5"/>
  <c r="K14" i="5"/>
  <c r="K13" i="5"/>
  <c r="K12" i="5"/>
  <c r="K11" i="5"/>
  <c r="K10" i="5"/>
  <c r="K9" i="5"/>
  <c r="K8" i="5"/>
  <c r="K27" i="4"/>
  <c r="O20" i="4"/>
  <c r="O19" i="4"/>
  <c r="O18" i="4"/>
  <c r="O17" i="4"/>
  <c r="O16" i="4"/>
  <c r="O15" i="4"/>
  <c r="O14" i="4"/>
  <c r="O13" i="4"/>
  <c r="O12" i="4"/>
  <c r="L12" i="4"/>
  <c r="L27" i="4" s="1"/>
  <c r="N35" i="3"/>
  <c r="L35" i="3"/>
  <c r="Q34" i="3"/>
  <c r="R34" i="3" s="1"/>
  <c r="I34" i="3"/>
  <c r="Q33" i="3"/>
  <c r="R33" i="3" s="1"/>
  <c r="I33" i="3"/>
  <c r="Q32" i="3"/>
  <c r="R32" i="3" s="1"/>
  <c r="I32" i="3"/>
  <c r="Q31" i="3"/>
  <c r="R31" i="3" s="1"/>
  <c r="I31" i="3"/>
  <c r="Q30" i="3"/>
  <c r="R30" i="3" s="1"/>
  <c r="I30" i="3"/>
  <c r="Q29" i="3"/>
  <c r="R29" i="3" s="1"/>
  <c r="I29" i="3"/>
  <c r="Q28" i="3"/>
  <c r="R28" i="3" s="1"/>
  <c r="I28" i="3"/>
  <c r="Q27" i="3"/>
  <c r="R27" i="3" s="1"/>
  <c r="I27" i="3"/>
  <c r="Q26" i="3"/>
  <c r="R26" i="3" s="1"/>
  <c r="I26" i="3"/>
  <c r="Q25" i="3"/>
  <c r="R25" i="3" s="1"/>
  <c r="I25" i="3"/>
  <c r="Q24" i="3"/>
  <c r="R24" i="3" s="1"/>
  <c r="I24" i="3"/>
  <c r="Q23" i="3"/>
  <c r="R23" i="3" s="1"/>
  <c r="I23" i="3"/>
  <c r="Q22" i="3"/>
  <c r="R22" i="3" s="1"/>
  <c r="I22" i="3"/>
  <c r="I21" i="3"/>
  <c r="Q20" i="3"/>
  <c r="R20" i="3" s="1"/>
  <c r="I20" i="3"/>
  <c r="Q19" i="3"/>
  <c r="R19" i="3" s="1"/>
  <c r="I19" i="3"/>
  <c r="Q18" i="3"/>
  <c r="R18" i="3" s="1"/>
  <c r="I18" i="3"/>
  <c r="I17" i="3"/>
  <c r="Q16" i="3"/>
  <c r="R16" i="3" s="1"/>
  <c r="I16" i="3"/>
  <c r="Q15" i="3"/>
  <c r="R15" i="3" s="1"/>
  <c r="I15" i="3"/>
  <c r="Q14" i="3"/>
  <c r="R14" i="3" s="1"/>
  <c r="I14" i="3"/>
  <c r="Q13" i="3"/>
  <c r="R13" i="3" s="1"/>
  <c r="I13" i="3"/>
  <c r="Q12" i="3"/>
  <c r="R12" i="3" s="1"/>
  <c r="I12" i="3"/>
  <c r="I11" i="3"/>
  <c r="L121" i="2"/>
  <c r="L112" i="2"/>
  <c r="M112" i="2" s="1"/>
  <c r="L113" i="2"/>
  <c r="M113" i="2" s="1"/>
  <c r="L114" i="2"/>
  <c r="M114" i="2" s="1"/>
  <c r="L115" i="2"/>
  <c r="M115" i="2" s="1"/>
  <c r="L111" i="2"/>
  <c r="L68" i="2"/>
  <c r="M68" i="2" s="1"/>
  <c r="L67" i="2"/>
  <c r="M67" i="2" s="1"/>
  <c r="L62" i="2"/>
  <c r="M62" i="2" s="1"/>
  <c r="L51" i="2"/>
  <c r="M51" i="2" s="1"/>
  <c r="O27" i="4" l="1"/>
  <c r="P19" i="4"/>
  <c r="P13" i="6"/>
  <c r="P12" i="4"/>
  <c r="K18" i="5"/>
  <c r="P13" i="4"/>
  <c r="P15" i="4"/>
  <c r="P17" i="4"/>
  <c r="O38" i="6"/>
  <c r="P16" i="6"/>
  <c r="M121" i="2"/>
  <c r="M122" i="2" s="1"/>
  <c r="L122" i="2"/>
  <c r="P14" i="4"/>
  <c r="P16" i="4"/>
  <c r="P18" i="4"/>
  <c r="P20" i="4"/>
  <c r="Q35" i="3"/>
  <c r="R44" i="3" s="1"/>
  <c r="L63" i="2"/>
  <c r="M63" i="2"/>
  <c r="L116" i="2"/>
  <c r="M111" i="2"/>
  <c r="L70" i="2"/>
  <c r="K38" i="6"/>
  <c r="M53" i="2"/>
  <c r="P12" i="6"/>
  <c r="P14" i="6"/>
  <c r="P19" i="6"/>
  <c r="P15" i="6"/>
  <c r="P22" i="6"/>
  <c r="P17" i="6"/>
  <c r="P20" i="6"/>
  <c r="P21" i="6"/>
  <c r="P18" i="6"/>
  <c r="R35" i="3"/>
  <c r="G140" i="2"/>
  <c r="F140" i="2"/>
  <c r="G166" i="2"/>
  <c r="I166" i="2"/>
  <c r="F166" i="2"/>
  <c r="L157" i="2"/>
  <c r="M157" i="2" s="1"/>
  <c r="G158" i="2"/>
  <c r="I158" i="2"/>
  <c r="F158" i="2"/>
  <c r="L152" i="2"/>
  <c r="M152" i="2" s="1"/>
  <c r="L151" i="2"/>
  <c r="M151" i="2" s="1"/>
  <c r="G153" i="2"/>
  <c r="I153" i="2"/>
  <c r="F153" i="2"/>
  <c r="H134" i="2"/>
  <c r="H135" i="2"/>
  <c r="M135" i="2" s="1"/>
  <c r="H136" i="2"/>
  <c r="H137" i="2"/>
  <c r="H138" i="2"/>
  <c r="H139" i="2"/>
  <c r="L134" i="2"/>
  <c r="L136" i="2"/>
  <c r="L137" i="2"/>
  <c r="L138" i="2"/>
  <c r="L139" i="2"/>
  <c r="L133" i="2"/>
  <c r="M133" i="2" s="1"/>
  <c r="G122" i="2"/>
  <c r="I122" i="2"/>
  <c r="G116" i="2"/>
  <c r="I116" i="2"/>
  <c r="F116" i="2"/>
  <c r="L102" i="2"/>
  <c r="M102" i="2" s="1"/>
  <c r="G103" i="2"/>
  <c r="I103" i="2"/>
  <c r="F103" i="2"/>
  <c r="L97" i="2"/>
  <c r="M97" i="2" s="1"/>
  <c r="G98" i="2"/>
  <c r="I98" i="2"/>
  <c r="F98" i="2"/>
  <c r="L86" i="2"/>
  <c r="M86" i="2" s="1"/>
  <c r="L87" i="2"/>
  <c r="M87" i="2" s="1"/>
  <c r="L88" i="2"/>
  <c r="M88" i="2" s="1"/>
  <c r="L89" i="2"/>
  <c r="M89" i="2" s="1"/>
  <c r="L91" i="2"/>
  <c r="M91" i="2" s="1"/>
  <c r="L85" i="2"/>
  <c r="I93" i="2"/>
  <c r="L74" i="2"/>
  <c r="G75" i="2"/>
  <c r="I75" i="2"/>
  <c r="F75" i="2"/>
  <c r="G70" i="2"/>
  <c r="I70" i="2"/>
  <c r="F70" i="2"/>
  <c r="G63" i="2"/>
  <c r="I63" i="2"/>
  <c r="G53" i="2"/>
  <c r="I53" i="2"/>
  <c r="L53" i="2"/>
  <c r="F53" i="2"/>
  <c r="L46" i="2"/>
  <c r="M46" i="2" s="1"/>
  <c r="G47" i="2"/>
  <c r="I47" i="2"/>
  <c r="M38" i="2"/>
  <c r="L37" i="2"/>
  <c r="M37" i="2" s="1"/>
  <c r="G39" i="2"/>
  <c r="I39" i="2"/>
  <c r="F39" i="2"/>
  <c r="L33" i="2"/>
  <c r="M33" i="2" s="1"/>
  <c r="L32" i="2"/>
  <c r="M32" i="2" s="1"/>
  <c r="G34" i="2"/>
  <c r="I34" i="2"/>
  <c r="F34" i="2"/>
  <c r="L23" i="2"/>
  <c r="M23" i="2" s="1"/>
  <c r="L22" i="2"/>
  <c r="M22" i="2" s="1"/>
  <c r="G24" i="2"/>
  <c r="I24" i="2"/>
  <c r="L17" i="2"/>
  <c r="M17" i="2" s="1"/>
  <c r="G18" i="2"/>
  <c r="I18" i="2"/>
  <c r="L13" i="2"/>
  <c r="M13" i="2" s="1"/>
  <c r="L12" i="2"/>
  <c r="M12" i="2" s="1"/>
  <c r="G14" i="2"/>
  <c r="L8" i="2"/>
  <c r="M8" i="2" s="1"/>
  <c r="L7" i="2"/>
  <c r="M7" i="2" s="1"/>
  <c r="G9" i="2"/>
  <c r="I9" i="2"/>
  <c r="F196" i="2" l="1"/>
  <c r="P54" i="6"/>
  <c r="P27" i="4"/>
  <c r="P34" i="4"/>
  <c r="F206" i="2"/>
  <c r="P38" i="6"/>
  <c r="E11" i="13"/>
  <c r="M24" i="2"/>
  <c r="O63" i="2"/>
  <c r="E12" i="13"/>
  <c r="R45" i="3"/>
  <c r="G196" i="2"/>
  <c r="M9" i="2"/>
  <c r="M85" i="2"/>
  <c r="M93" i="2" s="1"/>
  <c r="L93" i="2"/>
  <c r="O93" i="2" s="1"/>
  <c r="M47" i="2"/>
  <c r="L47" i="2"/>
  <c r="O47" i="2" s="1"/>
  <c r="M139" i="2"/>
  <c r="M138" i="2"/>
  <c r="M137" i="2"/>
  <c r="L75" i="2"/>
  <c r="O75" i="2" s="1"/>
  <c r="M74" i="2"/>
  <c r="M136" i="2"/>
  <c r="M134" i="2"/>
  <c r="M153" i="2"/>
  <c r="O122" i="2"/>
  <c r="O116" i="2"/>
  <c r="M18" i="2"/>
  <c r="M70" i="2"/>
  <c r="L140" i="2"/>
  <c r="O53" i="2"/>
  <c r="P53" i="2" s="1"/>
  <c r="O70" i="2"/>
  <c r="H140" i="2"/>
  <c r="H196" i="2" s="1"/>
  <c r="L153" i="2"/>
  <c r="O153" i="2" s="1"/>
  <c r="L9" i="2"/>
  <c r="L14" i="2"/>
  <c r="O14" i="2" s="1"/>
  <c r="M34" i="2"/>
  <c r="L98" i="2"/>
  <c r="O98" i="2" s="1"/>
  <c r="L103" i="2"/>
  <c r="L158" i="2"/>
  <c r="O158" i="2" s="1"/>
  <c r="L166" i="2"/>
  <c r="O166" i="2" s="1"/>
  <c r="M116" i="2"/>
  <c r="L39" i="2"/>
  <c r="O39" i="2" s="1"/>
  <c r="L18" i="2"/>
  <c r="O18" i="2" s="1"/>
  <c r="L34" i="2"/>
  <c r="O34" i="2" s="1"/>
  <c r="L24" i="2"/>
  <c r="O24" i="2" s="1"/>
  <c r="P35" i="4" l="1"/>
  <c r="L196" i="2"/>
  <c r="C9" i="13"/>
  <c r="B9" i="13" s="1"/>
  <c r="B18" i="13" s="1"/>
  <c r="F207" i="2"/>
  <c r="E10" i="13"/>
  <c r="E23" i="13" s="1"/>
  <c r="O103" i="2"/>
  <c r="M140" i="2"/>
  <c r="P122" i="2"/>
  <c r="P116" i="2"/>
  <c r="P70" i="2"/>
  <c r="M158" i="2"/>
  <c r="P158" i="2" s="1"/>
  <c r="M98" i="2"/>
  <c r="P98" i="2" s="1"/>
  <c r="P34" i="2"/>
  <c r="P63" i="2"/>
  <c r="M166" i="2"/>
  <c r="P166" i="2" s="1"/>
  <c r="M103" i="2"/>
  <c r="M14" i="2"/>
  <c r="P93" i="2"/>
  <c r="P18" i="2"/>
  <c r="M75" i="2"/>
  <c r="P75" i="2" s="1"/>
  <c r="M39" i="2"/>
  <c r="P39" i="2" s="1"/>
  <c r="P24" i="2"/>
  <c r="P153" i="2"/>
  <c r="O9" i="2"/>
  <c r="P9" i="2" s="1"/>
  <c r="M196" i="2" l="1"/>
  <c r="P103" i="2"/>
  <c r="P14" i="2"/>
  <c r="P47" i="2"/>
  <c r="I140" i="2"/>
  <c r="I196" i="2" s="1"/>
  <c r="M206" i="2" l="1"/>
  <c r="K206" i="2"/>
  <c r="K207" i="2" s="1"/>
  <c r="C18" i="13"/>
  <c r="O140" i="2"/>
  <c r="O206" i="2" s="1"/>
  <c r="E9" i="13"/>
  <c r="E22" i="13" s="1"/>
  <c r="E24" i="13" l="1"/>
  <c r="P140" i="2"/>
  <c r="M207" i="2"/>
  <c r="M208" i="2" s="1"/>
  <c r="E18" i="13"/>
  <c r="F20" i="13" s="1"/>
  <c r="M38" i="6" l="1"/>
  <c r="P55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Municipio de Hostotipaquillo</author>
  </authors>
  <commentList>
    <comment ref="M6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TRABAJA SOLO 13 DIAS , LOS LUNES ESTUDIA
</t>
        </r>
      </text>
    </comment>
  </commentList>
</comments>
</file>

<file path=xl/sharedStrings.xml><?xml version="1.0" encoding="utf-8"?>
<sst xmlns="http://schemas.openxmlformats.org/spreadsheetml/2006/main" count="1327" uniqueCount="800">
  <si>
    <t xml:space="preserve">RFC: MHJ -850101-SF3 </t>
  </si>
  <si>
    <t>Código</t>
  </si>
  <si>
    <t>Empleado</t>
  </si>
  <si>
    <t>Sueldo</t>
  </si>
  <si>
    <t>*Otras* *Percepciones*</t>
  </si>
  <si>
    <t>*TOTAL* *PERCEPCIONES*</t>
  </si>
  <si>
    <t>*TOTAL* *DEDUCCIONES*</t>
  </si>
  <si>
    <t>*NETO*</t>
  </si>
  <si>
    <t>Departamento 1 Sala de Regidores</t>
  </si>
  <si>
    <t>Total Depto</t>
  </si>
  <si>
    <t>Departamento 2 Presidencia Municipal</t>
  </si>
  <si>
    <t>Departamento 3 Secretaria Gral y Sindicatura</t>
  </si>
  <si>
    <t>Departamento 4 Juez Municipal</t>
  </si>
  <si>
    <t>Departamento 5 Oficialia Mayor</t>
  </si>
  <si>
    <t>Departamento 7 Educacion Publica</t>
  </si>
  <si>
    <t>Departamento 8 Hacienda Municipal</t>
  </si>
  <si>
    <t>Departamento 9 Catastro</t>
  </si>
  <si>
    <t>Departamento 10 Diseño Grafico y Comunicacion Social</t>
  </si>
  <si>
    <t>Departamento 11 Desarrollo social y Part Ciudadana</t>
  </si>
  <si>
    <t>Departamento 12 Obras Publicas</t>
  </si>
  <si>
    <t>Departamento 13 Construccion</t>
  </si>
  <si>
    <t>Departamento 14 Cementerio</t>
  </si>
  <si>
    <t>Departamento 15 Rastro Municipal</t>
  </si>
  <si>
    <t>Departamento 16 Aseo Publico</t>
  </si>
  <si>
    <t>Departamento 17 Alumbrado Publico</t>
  </si>
  <si>
    <t>Departamento 18 Agua Potable y Alcantarillado</t>
  </si>
  <si>
    <t>Departamento 19 Turismo</t>
  </si>
  <si>
    <t>Total Gral.</t>
  </si>
  <si>
    <t xml:space="preserve"> </t>
  </si>
  <si>
    <t>FIRMA</t>
  </si>
  <si>
    <t>AUTORIZO</t>
  </si>
  <si>
    <t>VIRIDIANA SANCHEZ PALACIOS</t>
  </si>
  <si>
    <t>MARGARITA ZAMBRANO CELAYA</t>
  </si>
  <si>
    <t>BRIGIDO CARRILLO CARRILLO</t>
  </si>
  <si>
    <t>MARIBEL CELAYA RODRIGUEZ</t>
  </si>
  <si>
    <t>MA.GUADALUPE RUIZ ZAMBRANO</t>
  </si>
  <si>
    <t>JUAN JOSE SANCHEZ PALACIOS</t>
  </si>
  <si>
    <t>ROSARIO L. RINCON HIDALGO</t>
  </si>
  <si>
    <t>FCA.JUDITH GONZALEZ GTEZ</t>
  </si>
  <si>
    <t>MA. ELENA MONROY GONZALEZ</t>
  </si>
  <si>
    <t>DIEGO ROJAS GUTIERREZ</t>
  </si>
  <si>
    <t>HONORATO CABRERA NUÑEZ</t>
  </si>
  <si>
    <t>ARMANDO CASTAÑEDA MARQUEZ</t>
  </si>
  <si>
    <t>RAMIRO MEJIA PEÑA</t>
  </si>
  <si>
    <t>VERONICA SANTOS CARRILLO</t>
  </si>
  <si>
    <t>C.ILIANA CRISTINA ESPARZA RIOS</t>
  </si>
  <si>
    <t>MARIO MARTINEZ FLORES</t>
  </si>
  <si>
    <t xml:space="preserve">I.S.R. </t>
  </si>
  <si>
    <t xml:space="preserve">Subs al Empleo </t>
  </si>
  <si>
    <t>SALVADOR RAMOS VEGA</t>
  </si>
  <si>
    <t>TOTAL DEPARTAMENTO</t>
  </si>
  <si>
    <t>OK</t>
  </si>
  <si>
    <t>Nombre</t>
  </si>
  <si>
    <t>Paterno</t>
  </si>
  <si>
    <t>Materno</t>
  </si>
  <si>
    <t>Nombres</t>
  </si>
  <si>
    <t>Plaza</t>
  </si>
  <si>
    <t>RFC</t>
  </si>
  <si>
    <t>TOTAL</t>
  </si>
  <si>
    <t xml:space="preserve">Num. </t>
  </si>
  <si>
    <t>Percepciones</t>
  </si>
  <si>
    <t>Deduciones</t>
  </si>
  <si>
    <t>Trab x</t>
  </si>
  <si>
    <t xml:space="preserve">Dias </t>
  </si>
  <si>
    <t xml:space="preserve">   Sueldo </t>
  </si>
  <si>
    <t xml:space="preserve">Otros </t>
  </si>
  <si>
    <t xml:space="preserve">   Total de </t>
  </si>
  <si>
    <t xml:space="preserve">Subsidio </t>
  </si>
  <si>
    <t xml:space="preserve">Total de </t>
  </si>
  <si>
    <t>area</t>
  </si>
  <si>
    <t>Trab.</t>
  </si>
  <si>
    <t>Qincenal</t>
  </si>
  <si>
    <t xml:space="preserve"> exc.</t>
  </si>
  <si>
    <t xml:space="preserve">    Percep</t>
  </si>
  <si>
    <t xml:space="preserve"> Empleo</t>
  </si>
  <si>
    <t>I.S.p.T</t>
  </si>
  <si>
    <t xml:space="preserve">   Ded.</t>
  </si>
  <si>
    <t>Total a Pagar</t>
  </si>
  <si>
    <t>Maldonado</t>
  </si>
  <si>
    <t xml:space="preserve">Moreno </t>
  </si>
  <si>
    <t>Roberto</t>
  </si>
  <si>
    <t>Chofer</t>
  </si>
  <si>
    <t>Galindo</t>
  </si>
  <si>
    <t>Castañeda</t>
  </si>
  <si>
    <t>Ma. Antonia</t>
  </si>
  <si>
    <t>Enc. Bombas</t>
  </si>
  <si>
    <t>Jiménez</t>
  </si>
  <si>
    <t>Contreras</t>
  </si>
  <si>
    <t>Rafael</t>
  </si>
  <si>
    <t>Mecánico municipal</t>
  </si>
  <si>
    <t>Salvador alejandro</t>
  </si>
  <si>
    <t>Hidalgo</t>
  </si>
  <si>
    <t>Carrillo</t>
  </si>
  <si>
    <t>Ivan</t>
  </si>
  <si>
    <t>Insp. Agri. Y ganadero</t>
  </si>
  <si>
    <t xml:space="preserve">Gudiño </t>
  </si>
  <si>
    <t>Ayón</t>
  </si>
  <si>
    <t>Jerónimo Antonio</t>
  </si>
  <si>
    <t>Hernández</t>
  </si>
  <si>
    <t>Gregorio</t>
  </si>
  <si>
    <t>Operador de maquina</t>
  </si>
  <si>
    <t>Hernandez</t>
  </si>
  <si>
    <t>Ramirez</t>
  </si>
  <si>
    <t>Ma.Rosa</t>
  </si>
  <si>
    <t>Enc. Cem. De la venta</t>
  </si>
  <si>
    <t>Valdez</t>
  </si>
  <si>
    <t>Monroy</t>
  </si>
  <si>
    <t>Luis Enrique</t>
  </si>
  <si>
    <t>Bodeguero</t>
  </si>
  <si>
    <t>Flores</t>
  </si>
  <si>
    <t>Rosales</t>
  </si>
  <si>
    <t>Aida</t>
  </si>
  <si>
    <t>Auxiliar deporte</t>
  </si>
  <si>
    <t>Bañuelos</t>
  </si>
  <si>
    <t>J. Antonio</t>
  </si>
  <si>
    <t>Auxiliar</t>
  </si>
  <si>
    <t>Rubio</t>
  </si>
  <si>
    <t>Piz</t>
  </si>
  <si>
    <t>Ramón</t>
  </si>
  <si>
    <t>Enc del reloj municipal</t>
  </si>
  <si>
    <t>Moreno</t>
  </si>
  <si>
    <t>Cortes</t>
  </si>
  <si>
    <t>Ma. Guadalupe</t>
  </si>
  <si>
    <t>Esparza</t>
  </si>
  <si>
    <t>Martínez</t>
  </si>
  <si>
    <t>Mauricio Eugenio</t>
  </si>
  <si>
    <t>Aux de recol. De basura</t>
  </si>
  <si>
    <t>Mejía</t>
  </si>
  <si>
    <t>Marcos Antonio</t>
  </si>
  <si>
    <t>Chofer de obra publica</t>
  </si>
  <si>
    <t>Palacios</t>
  </si>
  <si>
    <t>Miramontes</t>
  </si>
  <si>
    <t>Morales</t>
  </si>
  <si>
    <t>Marisela</t>
  </si>
  <si>
    <t>Secretaria</t>
  </si>
  <si>
    <t>Macías</t>
  </si>
  <si>
    <t>Vega</t>
  </si>
  <si>
    <t>Irma</t>
  </si>
  <si>
    <t>Aux. De intendencia</t>
  </si>
  <si>
    <t>Santiago</t>
  </si>
  <si>
    <t>Hilda Guillermina</t>
  </si>
  <si>
    <t xml:space="preserve">Secretaria </t>
  </si>
  <si>
    <t>Gutiérrez</t>
  </si>
  <si>
    <t>Agustín</t>
  </si>
  <si>
    <t>Gonzalez</t>
  </si>
  <si>
    <t>Rivera</t>
  </si>
  <si>
    <t>Jose Alberto</t>
  </si>
  <si>
    <t>Ruiz</t>
  </si>
  <si>
    <t>Becerra</t>
  </si>
  <si>
    <t>Monica Yolanda</t>
  </si>
  <si>
    <t xml:space="preserve">         VISTO BUENO</t>
  </si>
  <si>
    <t xml:space="preserve">              VISTO BUENO</t>
  </si>
  <si>
    <t xml:space="preserve">                        AUTORIZO</t>
  </si>
  <si>
    <t xml:space="preserve">HOMBRES </t>
  </si>
  <si>
    <t xml:space="preserve">MUJERES </t>
  </si>
  <si>
    <t>Proteccion civil</t>
  </si>
  <si>
    <t xml:space="preserve">    </t>
  </si>
  <si>
    <t>Num.</t>
  </si>
  <si>
    <t xml:space="preserve">   Trab.</t>
  </si>
  <si>
    <t>Total de</t>
  </si>
  <si>
    <t>Total a</t>
  </si>
  <si>
    <t>x Area</t>
  </si>
  <si>
    <t>trab.</t>
  </si>
  <si>
    <t>quincenal</t>
  </si>
  <si>
    <t>excentos</t>
  </si>
  <si>
    <t>Percep.</t>
  </si>
  <si>
    <t xml:space="preserve">al Empleo </t>
  </si>
  <si>
    <t>Deduc.</t>
  </si>
  <si>
    <t xml:space="preserve"> Pagar</t>
  </si>
  <si>
    <t>Departamento de Proteccion Civil</t>
  </si>
  <si>
    <t>Bravo</t>
  </si>
  <si>
    <t>Jose de Jesus</t>
  </si>
  <si>
    <t>Oficial de línea</t>
  </si>
  <si>
    <t>BABJ700605CC6</t>
  </si>
  <si>
    <t>Valderrama</t>
  </si>
  <si>
    <t>Carlos Alonso</t>
  </si>
  <si>
    <t>VAVC940315NL1</t>
  </si>
  <si>
    <t>Lopez</t>
  </si>
  <si>
    <t>Galvan</t>
  </si>
  <si>
    <t>Ana Veronica</t>
  </si>
  <si>
    <t>CAGX760905B29</t>
  </si>
  <si>
    <t>Roman</t>
  </si>
  <si>
    <t>Noemi</t>
  </si>
  <si>
    <t>LORN7811057M6</t>
  </si>
  <si>
    <t xml:space="preserve">Garcia </t>
  </si>
  <si>
    <t>Lara</t>
  </si>
  <si>
    <t>Tomas Salvador</t>
  </si>
  <si>
    <t>GALT851001BD4</t>
  </si>
  <si>
    <t>Maria Elena</t>
  </si>
  <si>
    <t>VARE910526368</t>
  </si>
  <si>
    <t>Garcia</t>
  </si>
  <si>
    <t>Gutierrez</t>
  </si>
  <si>
    <t>Cesar Gustavo</t>
  </si>
  <si>
    <t>GAGC951010G76</t>
  </si>
  <si>
    <t>Silvia</t>
  </si>
  <si>
    <t>Covarrubias</t>
  </si>
  <si>
    <t>Ramiro</t>
  </si>
  <si>
    <t>exc.</t>
  </si>
  <si>
    <t>Seguridad Publica</t>
  </si>
  <si>
    <t>Benito</t>
  </si>
  <si>
    <t>DIRECTOR</t>
  </si>
  <si>
    <t xml:space="preserve">Isidro Guadalupe </t>
  </si>
  <si>
    <t>Comandante</t>
  </si>
  <si>
    <t>Jose Juan</t>
  </si>
  <si>
    <t>Ortiz</t>
  </si>
  <si>
    <t>J.Guadalupe</t>
  </si>
  <si>
    <t>Policia de linea</t>
  </si>
  <si>
    <t>Diaz</t>
  </si>
  <si>
    <t>J. Jesus</t>
  </si>
  <si>
    <t>J.Manuel</t>
  </si>
  <si>
    <t>silverio</t>
  </si>
  <si>
    <t>Lorenzo</t>
  </si>
  <si>
    <t>Manuel Gerardo</t>
  </si>
  <si>
    <t>Perez</t>
  </si>
  <si>
    <t>F I R M A</t>
  </si>
  <si>
    <t>MUNICIPIO DE HOSTOTIPAQUILLO JALISCO</t>
  </si>
  <si>
    <t>base</t>
  </si>
  <si>
    <t>nom. Eventuales</t>
  </si>
  <si>
    <t>Juan Celso</t>
  </si>
  <si>
    <t>LOPEZ FLORES MA. CRUZ</t>
  </si>
  <si>
    <t xml:space="preserve">Vega </t>
  </si>
  <si>
    <t>Thalia Gpe.</t>
  </si>
  <si>
    <t>Mojarro</t>
  </si>
  <si>
    <t>Herlinda Rubi</t>
  </si>
  <si>
    <t>Maria</t>
  </si>
  <si>
    <t>Aux. int.</t>
  </si>
  <si>
    <t>ordenes de pago</t>
  </si>
  <si>
    <t>regidores</t>
  </si>
  <si>
    <t>seguridad publica</t>
  </si>
  <si>
    <t>proteccion civil</t>
  </si>
  <si>
    <t>PLAZA</t>
  </si>
  <si>
    <t>REGIDOR</t>
  </si>
  <si>
    <t>SINDICO</t>
  </si>
  <si>
    <t>SECRETARIA</t>
  </si>
  <si>
    <t>PRESIDENTE</t>
  </si>
  <si>
    <t>SECRETARIO GENERAL</t>
  </si>
  <si>
    <t>JUEZ</t>
  </si>
  <si>
    <t>OFICIAL MAYOR</t>
  </si>
  <si>
    <t>DIRECTOR REGISTRO CIVIL</t>
  </si>
  <si>
    <t xml:space="preserve">ENC. BIBLIOTECA </t>
  </si>
  <si>
    <t>DIRECTORA CASA DE CULTURA</t>
  </si>
  <si>
    <t>ENC. DE HACIENDA MUNICIPAL</t>
  </si>
  <si>
    <t>CHOFER</t>
  </si>
  <si>
    <t>AUX. CATASTRO</t>
  </si>
  <si>
    <t xml:space="preserve">DIRECTORA </t>
  </si>
  <si>
    <t>SECRETARIO</t>
  </si>
  <si>
    <t>DIRECTORA DESARROLLO S.</t>
  </si>
  <si>
    <t>AUXILIAR DESARROLLO S.</t>
  </si>
  <si>
    <t>DIRECTOR OBRA PUBLICA</t>
  </si>
  <si>
    <t>OPERADOR MAQUINA</t>
  </si>
  <si>
    <t>AUXILIAR</t>
  </si>
  <si>
    <t>DIRECTOR CEMENTERIO</t>
  </si>
  <si>
    <t>AUXILIAR RASTRO</t>
  </si>
  <si>
    <t>DIRECTOR DE RASTRO</t>
  </si>
  <si>
    <t xml:space="preserve">AUXILIAR </t>
  </si>
  <si>
    <t>DIRECTOR AGUA POTABLE</t>
  </si>
  <si>
    <t>ENC. BOMBA LAS CUEVAS</t>
  </si>
  <si>
    <t xml:space="preserve">ENC. BOMBA  </t>
  </si>
  <si>
    <t>ENC. BOMBA</t>
  </si>
  <si>
    <t>JORGE ORENDAIN RUBIO</t>
  </si>
  <si>
    <t>JOSE LUIS PACHECO OCEGUEDA</t>
  </si>
  <si>
    <t>JUAN RAMON TIZNADO AYON</t>
  </si>
  <si>
    <t>FIDEL GONZALEZ VARELA</t>
  </si>
  <si>
    <t>ROBERTO AVALOS TORRES</t>
  </si>
  <si>
    <t>ENC. DE UNIDAD DEPORTIVA</t>
  </si>
  <si>
    <t>DIRECTORA TURISMO</t>
  </si>
  <si>
    <t>MEDICO MUNICIPAL</t>
  </si>
  <si>
    <t>ASESOR</t>
  </si>
  <si>
    <t>subsidio dif</t>
  </si>
  <si>
    <t>total</t>
  </si>
  <si>
    <t>Encargado Parque Vehicular</t>
  </si>
  <si>
    <t>Aux. En Biblioteca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</si>
  <si>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</si>
  <si>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</si>
  <si>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</si>
  <si>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</si>
  <si>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</si>
  <si>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</si>
  <si>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</si>
  <si>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</si>
  <si>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</si>
  <si>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</si>
  <si>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Alejandra</t>
  </si>
  <si>
    <t>Brayam Alberto</t>
  </si>
  <si>
    <t>n.cta</t>
  </si>
  <si>
    <t>NOMBRE</t>
  </si>
  <si>
    <t>CARGO</t>
  </si>
  <si>
    <t>SUELDO</t>
  </si>
  <si>
    <t>Jose Isabel</t>
  </si>
  <si>
    <t>Celaya</t>
  </si>
  <si>
    <t>Ruben</t>
  </si>
  <si>
    <t>MANUEL ROJAS BRAVO</t>
  </si>
  <si>
    <t>JOSEFINA RIVERA GOMEZ</t>
  </si>
  <si>
    <t>DAVID RODRIGUEZ REYNAGA</t>
  </si>
  <si>
    <t>OLIVIA MENDOZA LARA</t>
  </si>
  <si>
    <t>FIDEL ORENDAIN LOPEZ</t>
  </si>
  <si>
    <t>MAURICIO RIVAS RIVAS</t>
  </si>
  <si>
    <t>RAMIRO BRAVO BAÑUELOS</t>
  </si>
  <si>
    <t>ANGEL LEONEL BRICEÑO VALDERRAMA</t>
  </si>
  <si>
    <t>RENE MORENO MENDOZA</t>
  </si>
  <si>
    <t>IVETTE CARRILLO LOERA</t>
  </si>
  <si>
    <t>JORGE RAYGOZA MORENO</t>
  </si>
  <si>
    <t>LEANDRO LOPEZ ALTAMIRANO</t>
  </si>
  <si>
    <t>EMILIANO LOPEZ ARELLANO</t>
  </si>
  <si>
    <t>AUX.ASEO PLAZA PRINCIPAL</t>
  </si>
  <si>
    <t>AARON GARCIA GOMEZ</t>
  </si>
  <si>
    <t>MARCOS DE JESUS GONZALEZ CALDERA</t>
  </si>
  <si>
    <t>FERNANDO GARCIA GARCIA</t>
  </si>
  <si>
    <t>CUITLAHUAC MARTINEZ MELENDEZ</t>
  </si>
  <si>
    <t>ANTONIO MENDOZA COVARRUBIAS</t>
  </si>
  <si>
    <t>AUXILIAR DE INTENDENCIA DE LA PLAZA DE LA LA VENTA</t>
  </si>
  <si>
    <t>MARIA GUADALUPE</t>
  </si>
  <si>
    <t>CARRILLO</t>
  </si>
  <si>
    <t xml:space="preserve">HERNANDEZ </t>
  </si>
  <si>
    <t>AUX. INT. PLAZA DE LA ESTANZUELA</t>
  </si>
  <si>
    <t>MARIA CONCEPCION</t>
  </si>
  <si>
    <t>RIVERA</t>
  </si>
  <si>
    <t>PALOS</t>
  </si>
  <si>
    <t>AUX DE INT EN PREESOLAR SOR JUANA DE LA VENTA</t>
  </si>
  <si>
    <t>SILVIA AMPARO</t>
  </si>
  <si>
    <t>REYES</t>
  </si>
  <si>
    <t>SANCHEZ</t>
  </si>
  <si>
    <t>AUX DE INT EN TELESECUNDARIA PEDRO MORENO LA VENTA</t>
  </si>
  <si>
    <t>GONZALEZ</t>
  </si>
  <si>
    <t xml:space="preserve">CARRILLO </t>
  </si>
  <si>
    <t>MRALJN8051614H101</t>
  </si>
  <si>
    <t>ALVG68082714M900</t>
  </si>
  <si>
    <t>AUX DE INT EN PRESCOLAR SANTO TOMAS</t>
  </si>
  <si>
    <t>MIREYA</t>
  </si>
  <si>
    <t>AYON</t>
  </si>
  <si>
    <t xml:space="preserve">RUVALCABA </t>
  </si>
  <si>
    <t>AUX DE INT PLAZA DEL LLANO DE LOS VELAS</t>
  </si>
  <si>
    <t>AUX DE INT EN PLAZA DE SANTO TOMAS.</t>
  </si>
  <si>
    <t>TERESA</t>
  </si>
  <si>
    <t>VEGA</t>
  </si>
  <si>
    <t>CRHRTR64101014M600</t>
  </si>
  <si>
    <t>AUX DE INT EN PRESCOLAR EL SAUCILLO</t>
  </si>
  <si>
    <t>HERNANDEZ</t>
  </si>
  <si>
    <t>GLHRTR78122914M500</t>
  </si>
  <si>
    <t>AUX DE INT EN LA ESC. DEL SAUCILLO</t>
  </si>
  <si>
    <t>MA. DEL ROSARIO</t>
  </si>
  <si>
    <t>VALENZUELA</t>
  </si>
  <si>
    <t>ZAPATA</t>
  </si>
  <si>
    <t>VASE530921</t>
  </si>
  <si>
    <t>VARGAS</t>
  </si>
  <si>
    <t>AUX. INT. PLAZA TEQUESQUITE</t>
  </si>
  <si>
    <t>VICTOR HUGO</t>
  </si>
  <si>
    <t>TAMAYO</t>
  </si>
  <si>
    <t>AUX DE INT EN CLINICA DE LA VENTA</t>
  </si>
  <si>
    <t>LOURDES</t>
  </si>
  <si>
    <t>ROMERO</t>
  </si>
  <si>
    <t>AUX DE INT PRIMARIA PLAN  DE BARRANCAS</t>
  </si>
  <si>
    <t>OFELIA</t>
  </si>
  <si>
    <t>RUBIO</t>
  </si>
  <si>
    <t>CRHRSL74073014M600</t>
  </si>
  <si>
    <t>AUX DE INT PRIMARIA DE LA VENTA.</t>
  </si>
  <si>
    <t xml:space="preserve">PAGO </t>
  </si>
  <si>
    <t>Num Trab</t>
  </si>
  <si>
    <t xml:space="preserve">MA. DEL REFUGIO GARCIA CASILLAS </t>
  </si>
  <si>
    <t>LUIS H. ESCOBEDO ROJAS</t>
  </si>
  <si>
    <t>MARCELINO VALADEZ VILLA</t>
  </si>
  <si>
    <t>MODESTO ROBLES CHACON</t>
  </si>
  <si>
    <t>PEDRO IGNACIO GARCIA CASILLAS</t>
  </si>
  <si>
    <t>ALFREDO MONTES ZAMBRANO</t>
  </si>
  <si>
    <t>DIR.ALUMBRADO</t>
  </si>
  <si>
    <t>VENANCIO LEDEZMA ESPINOZA</t>
  </si>
  <si>
    <t>PENSIONADOS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</si>
  <si>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</si>
  <si>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</si>
  <si>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</si>
  <si>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</si>
  <si>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</si>
  <si>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</si>
  <si>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</si>
  <si>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</si>
  <si>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</si>
  <si>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</si>
  <si>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</si>
  <si>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</si>
  <si>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</si>
  <si>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</si>
  <si>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</si>
  <si>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</si>
  <si>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</si>
  <si>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</si>
  <si>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</si>
  <si>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</si>
  <si>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</si>
  <si>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</si>
  <si>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</si>
  <si>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</si>
  <si>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</si>
  <si>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</si>
  <si>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</si>
  <si>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</si>
  <si>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</si>
  <si>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</si>
  <si>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</si>
  <si>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</si>
  <si>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</si>
  <si>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</si>
  <si>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</si>
  <si>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</si>
  <si>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</si>
  <si>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</si>
  <si>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</si>
  <si>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</si>
  <si>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</si>
  <si>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</si>
  <si>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</si>
  <si>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</si>
  <si>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</si>
  <si>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HORACIO PIZ MENDOZA</t>
  </si>
  <si>
    <t xml:space="preserve">DIRECTOR </t>
  </si>
  <si>
    <t>Casa Cultura</t>
  </si>
  <si>
    <t xml:space="preserve">ISR </t>
  </si>
  <si>
    <t>mensual</t>
  </si>
  <si>
    <t>Instructores de casa de Cultura.</t>
  </si>
  <si>
    <t>Instructor de Ballet Infantil</t>
  </si>
  <si>
    <t>JISJ771010EH9</t>
  </si>
  <si>
    <t xml:space="preserve">Medrano </t>
  </si>
  <si>
    <t xml:space="preserve">Fabiola Veronica </t>
  </si>
  <si>
    <t>Instructora del Ballet Juvenil</t>
  </si>
  <si>
    <t>FAGY960614</t>
  </si>
  <si>
    <t>Chavez</t>
  </si>
  <si>
    <t>Ana Rosa</t>
  </si>
  <si>
    <t>Instructora de Pintura Hostotipaquillo y Tequesquite</t>
  </si>
  <si>
    <t>Guzman</t>
  </si>
  <si>
    <t>Ibarra</t>
  </si>
  <si>
    <t>Lorena</t>
  </si>
  <si>
    <t>Instructora de Escaramuza</t>
  </si>
  <si>
    <t>Felipe</t>
  </si>
  <si>
    <t>Instructor de Charrerria</t>
  </si>
  <si>
    <t>HICF940309TU7</t>
  </si>
  <si>
    <t xml:space="preserve">Instructor Música Banda, Noteño y Cuerdas </t>
  </si>
  <si>
    <t>TOTAL MENSUAL</t>
  </si>
  <si>
    <t>C. ILIANA CRISTINA ESPARZA R.</t>
  </si>
  <si>
    <t>PRESIDENTE MUNICIPAL</t>
  </si>
  <si>
    <t>ENCARGADO DE HACIENDA MUNICIPAL</t>
  </si>
  <si>
    <t xml:space="preserve">      DIR. DE CULTURA</t>
  </si>
  <si>
    <t>OCEGUEDA GUERRERO J. JUAN</t>
  </si>
  <si>
    <t>ESCOBEDO ROJAS J. SABINO</t>
  </si>
  <si>
    <t>GUERRERO GALLARDO HUMBERTO</t>
  </si>
  <si>
    <t>CORTES RODRIGUEZ OLIVALDO</t>
  </si>
  <si>
    <t>MONTES ZAMBRANO J. JESUS</t>
  </si>
  <si>
    <t>RAYGOZA MORENO ADALBERTO</t>
  </si>
  <si>
    <t>COVARRUBIAS ARRELLANO HECTOR</t>
  </si>
  <si>
    <t>RUBIO ESQUEDA J. ANTONIO</t>
  </si>
  <si>
    <t>MANZANO HIDALGO RUBEN</t>
  </si>
  <si>
    <t>MONTES ZAMBRANO M. ANTONIO</t>
  </si>
  <si>
    <t>AMEZQUITA LLAMAS CANDELARIO</t>
  </si>
  <si>
    <t>VALLE GONZALEZ JERONIMO</t>
  </si>
  <si>
    <t>GONZALEZ GUTIERREZ JAVIER</t>
  </si>
  <si>
    <t>ELPIDIO MACIAS GALINDO</t>
  </si>
  <si>
    <t>HERNANDEZ ROMERO RUBEN</t>
  </si>
  <si>
    <t>AUTORIZA</t>
  </si>
  <si>
    <t>VISTO BUENO</t>
  </si>
  <si>
    <t>REGIDORES</t>
  </si>
  <si>
    <t>BASE</t>
  </si>
  <si>
    <t>SEGURIDAD PUBLICA</t>
  </si>
  <si>
    <t>PROTECCION CIVIL</t>
  </si>
  <si>
    <t>NOM. TRAB. EVENTUALES</t>
  </si>
  <si>
    <t>ORDENES DE PAGO</t>
  </si>
  <si>
    <t>TRABAJADORES MENSUALES</t>
  </si>
  <si>
    <t>PAGO SEMANAL</t>
  </si>
  <si>
    <t>CASA DE LA CULTURA</t>
  </si>
  <si>
    <t>HUGO A. ROJAS SANCHEZ</t>
  </si>
  <si>
    <t>RAMON ALEJANDRO GONZALEZ LEON</t>
  </si>
  <si>
    <t>JOSE ZARATE OCAMPO</t>
  </si>
  <si>
    <t>LIZBETH VERARIT MARTINEZ CARRILLO</t>
  </si>
  <si>
    <t>JUAN ZENON TORRES CARRILLO</t>
  </si>
  <si>
    <t>JAIME RODRIGUEZ NAVARRO</t>
  </si>
  <si>
    <t>ALICIA CARRILLO CORTES</t>
  </si>
  <si>
    <t xml:space="preserve">CESARIO </t>
  </si>
  <si>
    <t>LOPEZ</t>
  </si>
  <si>
    <t>Quincenales</t>
  </si>
  <si>
    <t>Mensuales</t>
  </si>
  <si>
    <t>Semanal</t>
  </si>
  <si>
    <t>NOMINAS</t>
  </si>
  <si>
    <t>HOSTOTIPAQUILLO JALISCO 2018-2021</t>
  </si>
  <si>
    <t>NOMINA GENERAL</t>
  </si>
  <si>
    <t>HORA</t>
  </si>
  <si>
    <t>PUESTO</t>
  </si>
  <si>
    <t>LUGAR</t>
  </si>
  <si>
    <t>ROBM-870625</t>
  </si>
  <si>
    <t>Aux. Agua Potable</t>
  </si>
  <si>
    <t>Los Michel</t>
  </si>
  <si>
    <t xml:space="preserve">Aux. Intendencia  </t>
  </si>
  <si>
    <t xml:space="preserve">Casa de la cultura </t>
  </si>
  <si>
    <t>RORD-431229</t>
  </si>
  <si>
    <t>Cronista Municipal</t>
  </si>
  <si>
    <t>Hostotipaquillo Jal.</t>
  </si>
  <si>
    <t>PAOA-840204</t>
  </si>
  <si>
    <t>Encargado de Bomba</t>
  </si>
  <si>
    <t>La Montaña</t>
  </si>
  <si>
    <t>J. ASENCIO LUNA PEREZ</t>
  </si>
  <si>
    <t>Encargado de parque vehicular T/V</t>
  </si>
  <si>
    <t>MELO-940528</t>
  </si>
  <si>
    <t>Secretaria de Oficialia Mayor</t>
  </si>
  <si>
    <t>OELF-890826</t>
  </si>
  <si>
    <t>Chofer de Transporte de Alumnos</t>
  </si>
  <si>
    <t xml:space="preserve">Cinco Minas </t>
  </si>
  <si>
    <t>GOPA-770828</t>
  </si>
  <si>
    <t>Promotor de Deportes</t>
  </si>
  <si>
    <t>Aux. de Agua Potable</t>
  </si>
  <si>
    <t>BABR-660516</t>
  </si>
  <si>
    <t xml:space="preserve">Chofer de Transporte de Alumnos </t>
  </si>
  <si>
    <t>Encargado Relleno Municipal</t>
  </si>
  <si>
    <t>MOMR-940601</t>
  </si>
  <si>
    <t>CALI-000418</t>
  </si>
  <si>
    <t>Secretario de Desarrollo Rural</t>
  </si>
  <si>
    <t>RAMJ-901027</t>
  </si>
  <si>
    <t xml:space="preserve">Enc. De Parque Ecologico </t>
  </si>
  <si>
    <t>Labor de Guadalupe</t>
  </si>
  <si>
    <t>LOAL-661025</t>
  </si>
  <si>
    <t>Aseo en Unidad Deportiva</t>
  </si>
  <si>
    <t>LOCJ-770131</t>
  </si>
  <si>
    <t>Aux. Aseo Publico Municipal</t>
  </si>
  <si>
    <t xml:space="preserve">JOSE MONTES ZAMBRANO </t>
  </si>
  <si>
    <t>MOZJ-680425</t>
  </si>
  <si>
    <t>Chofer Recolector de Basura</t>
  </si>
  <si>
    <t>Aux.de Intendencia en Plaza Mpal.</t>
  </si>
  <si>
    <t>GAGA-591122</t>
  </si>
  <si>
    <t>Instructor de Banda de Guerra</t>
  </si>
  <si>
    <t>GOCM-870623</t>
  </si>
  <si>
    <t>Auxiliar de Trasparencia</t>
  </si>
  <si>
    <t>JOSE ASENCIO SALINAS SUAREZ</t>
  </si>
  <si>
    <t>SASJ-600728</t>
  </si>
  <si>
    <t>RAFAEL ZUÑIGA ANZALDO</t>
  </si>
  <si>
    <t>ZUAR-460428</t>
  </si>
  <si>
    <t xml:space="preserve">Enc. Cementerio </t>
  </si>
  <si>
    <t>Plan de Barrancas</t>
  </si>
  <si>
    <t>MAMC-731202</t>
  </si>
  <si>
    <t>Enc. De Bomba</t>
  </si>
  <si>
    <t>CATALINA GALINDO RODRIGUEZ</t>
  </si>
  <si>
    <t>GARC-540914</t>
  </si>
  <si>
    <t xml:space="preserve">JOSE ANGEL RODRIGUEZ VALLARTA </t>
  </si>
  <si>
    <t xml:space="preserve">Asistente </t>
  </si>
  <si>
    <t>Llano de los Vela</t>
  </si>
  <si>
    <t>Bombero</t>
  </si>
  <si>
    <t>Las Conocas</t>
  </si>
  <si>
    <t>BENJAMIN ALTAMIRANO VALDERRAMA</t>
  </si>
  <si>
    <t>Aux. de Intendencia en Preescolar</t>
  </si>
  <si>
    <t>Sto. Domingo de Guzman</t>
  </si>
  <si>
    <t>SAVD-000701</t>
  </si>
  <si>
    <t>Enc. De la biblioteca de Esc. Preparatoria</t>
  </si>
  <si>
    <t>LEHA990807</t>
  </si>
  <si>
    <t>JESSICA ARACELI OLIVARES CARRILLO</t>
  </si>
  <si>
    <t>OICJ-931209</t>
  </si>
  <si>
    <t>Aux. Int. Prescolar Jose Rojas Moreno</t>
  </si>
  <si>
    <t>CXCA-651115</t>
  </si>
  <si>
    <t>Aux. Int. Primaria</t>
  </si>
  <si>
    <t>Total</t>
  </si>
  <si>
    <t>TOCJ-780623</t>
  </si>
  <si>
    <t xml:space="preserve">JIMENEZ </t>
  </si>
  <si>
    <t>PEREZ</t>
  </si>
  <si>
    <t>MARIA DEL ROCIO</t>
  </si>
  <si>
    <t>AUXILIAR EN CEMENTERIO DEL TEQUESQUITE</t>
  </si>
  <si>
    <t xml:space="preserve">OROZCO </t>
  </si>
  <si>
    <t>VICTORINA</t>
  </si>
  <si>
    <t>Firma</t>
  </si>
  <si>
    <t>PARTICIPACIONES</t>
  </si>
  <si>
    <t>FORTALECIMIENTO</t>
  </si>
  <si>
    <t>VACACIONES</t>
  </si>
  <si>
    <t xml:space="preserve">TEPOSTE REYES JESUS </t>
  </si>
  <si>
    <t>Auxiliar en Agua Potable</t>
  </si>
  <si>
    <t>SILVIA GUADALUPE</t>
  </si>
  <si>
    <t>ROCIO YESENIA  RUBIO RODRIGUEZ</t>
  </si>
  <si>
    <t>Secretario de Desarrollo Social</t>
  </si>
  <si>
    <t>Nomina de Eventuales</t>
  </si>
  <si>
    <t>Pago Semanal</t>
  </si>
  <si>
    <t>ILIANA CRISTINA ESPÁRZA RIOS</t>
  </si>
  <si>
    <t>ADMINISTRACION 2018-2021, H. AYUNTAMIENTO DE HOSTOTIPAQUILLO</t>
  </si>
  <si>
    <t>MAYRA L BRISEÑO VILLAGRANA</t>
  </si>
  <si>
    <t>DIRECTORA</t>
  </si>
  <si>
    <t>ERIC LEAL MONTES</t>
  </si>
  <si>
    <t>CONTRALOR</t>
  </si>
  <si>
    <t>Sanchez</t>
  </si>
  <si>
    <t>MARIA ESPERANZA CALDERA SOLIS</t>
  </si>
  <si>
    <t>AUX. DE INTENDENCIA</t>
  </si>
  <si>
    <t>H. AYUNTAMIENTO DE HOSTOTIPAQUILLO JAL 2018-2021</t>
  </si>
  <si>
    <t>Departamento 20 Servicios Medicos Minicipales</t>
  </si>
  <si>
    <t>Departamento 22 Desarrollo Rural</t>
  </si>
  <si>
    <t>Departamento 23 Transparencia</t>
  </si>
  <si>
    <t>Departamento 24 Contraloria</t>
  </si>
  <si>
    <t>Departamento 6 Registro Civil</t>
  </si>
  <si>
    <t>Abel</t>
  </si>
  <si>
    <t>PEÑA</t>
  </si>
  <si>
    <t>MA. DE JESUS</t>
  </si>
  <si>
    <t xml:space="preserve">AUX. DE INT PLAZA EL SAUCILLO </t>
  </si>
  <si>
    <t>ENCARGADA  DE L PROGRAMA  ADULTO MAYOR DE LA VENTA DE MOCHITILTIC</t>
  </si>
  <si>
    <t>.</t>
  </si>
  <si>
    <t>Director</t>
  </si>
  <si>
    <t>ALVAREZ</t>
  </si>
  <si>
    <t>ROSALES</t>
  </si>
  <si>
    <t>AUX. DE INT PLAZA  PLAN DE BARRANCAS</t>
  </si>
  <si>
    <t>Departamento 25 Promocion Economica</t>
  </si>
  <si>
    <t xml:space="preserve">JOSE GUTIERREZ RODRIGUEZ </t>
  </si>
  <si>
    <t>Secretario de Obras Publicas</t>
  </si>
  <si>
    <t>GERARDO MANZANO PEREZ</t>
  </si>
  <si>
    <t>Aguilar</t>
  </si>
  <si>
    <t xml:space="preserve">NOMINA EVENTUAL </t>
  </si>
  <si>
    <t>RAMON GONZALEZ VARELA</t>
  </si>
  <si>
    <t>JOSE ALFREDO HERNANDEZ AMAYA</t>
  </si>
  <si>
    <t xml:space="preserve">Prestamo </t>
  </si>
  <si>
    <t>Prestamo</t>
  </si>
  <si>
    <t>Alta 19/02/2019</t>
  </si>
  <si>
    <t>MERCED EMANUEL ZAMBRANO ZUÑIGA</t>
  </si>
  <si>
    <t>Sayulimita</t>
  </si>
  <si>
    <t xml:space="preserve">Enc. De bomba </t>
  </si>
  <si>
    <t xml:space="preserve">Total </t>
  </si>
  <si>
    <t>PRESTAMOS</t>
  </si>
  <si>
    <t>ALTAMIRANO PEREZ E JOSE H.</t>
  </si>
  <si>
    <t>DORA JAZMIN SALINAS VALDEZ</t>
  </si>
  <si>
    <t>MA. FABIOLA BARAJAS MURO</t>
  </si>
  <si>
    <t xml:space="preserve">LIC. ERIC LEAL MONTES </t>
  </si>
  <si>
    <t>LIC. ERIC LEAL MONTES</t>
  </si>
  <si>
    <t>LOPEZ FLORES ULISES</t>
  </si>
  <si>
    <t>CHOFER DE VOLTEO</t>
  </si>
  <si>
    <t>ALTA</t>
  </si>
  <si>
    <t>BAJA</t>
  </si>
  <si>
    <t>GALVAN</t>
  </si>
  <si>
    <t xml:space="preserve">Departamento </t>
  </si>
  <si>
    <t xml:space="preserve">MATIAS ROBERTO DE JESUS MEDINA MICHEL </t>
  </si>
  <si>
    <t>TERAPEUTA</t>
  </si>
  <si>
    <t>MAYORGA CORONA FRANCISCO MACARIO</t>
  </si>
  <si>
    <t>JOSE FELICIANO CORONA FLORES</t>
  </si>
  <si>
    <t>KARELLY JUDITH HERNANDEZ GONZALEZ</t>
  </si>
  <si>
    <t>MA. DE JESUS MARTINEZ ESCOBEDO</t>
  </si>
  <si>
    <t>ANA  LUISA BAÑUELOS JAIMES</t>
  </si>
  <si>
    <t>MARIA ELIZABETH ZAMBRANO ARRIAGA</t>
  </si>
  <si>
    <t>ORLANDO FABIAN LEAL ESPARZA</t>
  </si>
  <si>
    <t>CLAUDIA ELENA ROJAS MORA</t>
  </si>
  <si>
    <t>AMALIA CALDERA MARTINEZ</t>
  </si>
  <si>
    <t>J. JESUS</t>
  </si>
  <si>
    <t>AYON RUVALCABA JUAN JOSE</t>
  </si>
  <si>
    <t>ENC. DE ALUMBRADO PUBLICO</t>
  </si>
  <si>
    <t xml:space="preserve">Siordia </t>
  </si>
  <si>
    <t>Victor</t>
  </si>
  <si>
    <t xml:space="preserve">FABIAN GARCIA GARCIA </t>
  </si>
  <si>
    <t xml:space="preserve">Axiliar General </t>
  </si>
  <si>
    <t>Descuento</t>
  </si>
  <si>
    <t xml:space="preserve">Faltas </t>
  </si>
  <si>
    <t>Alta el 12 de junio 2019</t>
  </si>
  <si>
    <t>JOEL MARTINIANO LOPEZ CORONA</t>
  </si>
  <si>
    <t xml:space="preserve">HUERTA </t>
  </si>
  <si>
    <t xml:space="preserve">RAYGOSA </t>
  </si>
  <si>
    <t>BERENICE</t>
  </si>
  <si>
    <t>German</t>
  </si>
  <si>
    <t>OLGA PATRICIA VALDIVIA CARRILLO</t>
  </si>
  <si>
    <t>Corona</t>
  </si>
  <si>
    <t>Miguel</t>
  </si>
  <si>
    <t>JOSE ASCENCION JIMENEZ PONCE</t>
  </si>
  <si>
    <t>Operador de Maquina</t>
  </si>
  <si>
    <t>Alta 01-oct-2019.</t>
  </si>
  <si>
    <t xml:space="preserve">GERMAN MONTES GONZALEZ </t>
  </si>
  <si>
    <t>MARCO ANTONIO CASTAÑEDA</t>
  </si>
  <si>
    <t xml:space="preserve">AUX.ASEO GENERAL </t>
  </si>
  <si>
    <t xml:space="preserve">OSCAR PEÑA CARRILLO </t>
  </si>
  <si>
    <t>LUZ NAYELI LOPEZ RUBIO</t>
  </si>
  <si>
    <t>AUXILIAR EN TESORERIA</t>
  </si>
  <si>
    <t>Alta el 8 de Noviembre 2019</t>
  </si>
  <si>
    <t>Alta el 9 de septiembre 2019</t>
  </si>
  <si>
    <t>AUXILIAR GENERAL</t>
  </si>
  <si>
    <t>RAFAEL  GONZALEZ VILLARREAL</t>
  </si>
  <si>
    <t xml:space="preserve">EL CARRIZO </t>
  </si>
  <si>
    <t>ALTA el 1 mayo de 2019</t>
  </si>
  <si>
    <t>ALTA EL 01 DICIEMBRE 2019</t>
  </si>
  <si>
    <t>LORENA BARAJAS LEON</t>
  </si>
  <si>
    <t xml:space="preserve">ALEXIS URIEL RUIZ MEDRANO </t>
  </si>
  <si>
    <t>Inspector de Obras</t>
  </si>
  <si>
    <t>Alta el 1 de Diciembre de 2019</t>
  </si>
  <si>
    <t>Jesus David</t>
  </si>
  <si>
    <t>alta el 01 enero de 2020</t>
  </si>
  <si>
    <t>MIGUEL CARRANZA BAÑUELOS</t>
  </si>
  <si>
    <t>ALTA EL 1 ENERO DE 2020</t>
  </si>
  <si>
    <t>CTA</t>
  </si>
  <si>
    <t>AUX DE INT EN LA PLAZA DE LA LABOR DE GUAD</t>
  </si>
  <si>
    <t xml:space="preserve">Yesenia </t>
  </si>
  <si>
    <t>MAXIMILIANO COVARRUBIAS HERNANDEZ</t>
  </si>
  <si>
    <t xml:space="preserve">IBARRA </t>
  </si>
  <si>
    <t>FLORENTINA</t>
  </si>
  <si>
    <t>ALTA-      01/01/2020</t>
  </si>
  <si>
    <t xml:space="preserve">Subsidio al Empleo </t>
  </si>
  <si>
    <t>KARINA PARDO OROZCO</t>
  </si>
  <si>
    <t>ALTA EL 1 DE ENERO 2020</t>
  </si>
  <si>
    <t>Briseño</t>
  </si>
  <si>
    <t>Bryan Santiago</t>
  </si>
  <si>
    <t>J. FELIZ LUNA PEREZ</t>
  </si>
  <si>
    <t>ALTA EL 1 DE FEBRERO 2020</t>
  </si>
  <si>
    <t xml:space="preserve">Benavidez </t>
  </si>
  <si>
    <t>Fabian Goaxicar</t>
  </si>
  <si>
    <t>Iliana</t>
  </si>
  <si>
    <t>alta 8 de febrero de 2020</t>
  </si>
  <si>
    <t xml:space="preserve"> VISTO BUENO</t>
  </si>
  <si>
    <t>C.ELPIDIO MACIAS GALINDO</t>
  </si>
  <si>
    <t xml:space="preserve">                               AUTORIZO</t>
  </si>
  <si>
    <t>Del Corredor de Carrizo San Blasito a Hostotipaquillo</t>
  </si>
  <si>
    <t xml:space="preserve">Departamento 26 Ecologia </t>
  </si>
  <si>
    <t>ALEJANDRO FLORES RUBIO</t>
  </si>
  <si>
    <t xml:space="preserve">GARCIA </t>
  </si>
  <si>
    <t xml:space="preserve">ROBLES </t>
  </si>
  <si>
    <t>JOSEFINA</t>
  </si>
  <si>
    <t>JOSE MANUEL PALACIOS MORENO</t>
  </si>
  <si>
    <t xml:space="preserve">PRIMA EN JULIO Y ENERO </t>
  </si>
  <si>
    <t xml:space="preserve">PRIMA EN MARZO Y SEPTIEMBRE </t>
  </si>
  <si>
    <t xml:space="preserve">PRIMA EN GOSTO Y FEBRERO </t>
  </si>
  <si>
    <t>Prima  julio y enero</t>
  </si>
  <si>
    <t xml:space="preserve">Prima Abril y Octubre </t>
  </si>
  <si>
    <t xml:space="preserve">Prima Marzo Y septiembre </t>
  </si>
  <si>
    <t>Prima Noviembre y Mayo</t>
  </si>
  <si>
    <t>Prima Mayo y Noviembre</t>
  </si>
  <si>
    <t xml:space="preserve">Prima agosto y Febrero </t>
  </si>
  <si>
    <t>Prima Mayo y Diciembre</t>
  </si>
  <si>
    <t>Jose Luis</t>
  </si>
  <si>
    <t>Alta el 17 de marzo de 2020</t>
  </si>
  <si>
    <t xml:space="preserve">ALEJANDRA MONTES VICENCIO </t>
  </si>
  <si>
    <t xml:space="preserve">MARIO ALBERTO  GUIZAR BERNAL </t>
  </si>
  <si>
    <t>COORDINADORA DE DIRECCION ESTRATEGICA</t>
  </si>
  <si>
    <t xml:space="preserve">AUXILIAR DE OBRA PUBLICA </t>
  </si>
  <si>
    <t>RAUDEL VALDEZ MURO</t>
  </si>
  <si>
    <t>ALTA EL 1 FEBRERO 2020</t>
  </si>
  <si>
    <t>JAIMES</t>
  </si>
  <si>
    <t>BAÑUELOS</t>
  </si>
  <si>
    <t xml:space="preserve">AUX. DE PLAZA DE SAYULIMITA </t>
  </si>
  <si>
    <t>AUX. DE PLAZA DE CINCO MINAS</t>
  </si>
  <si>
    <t xml:space="preserve">OSCAR ADRIAN JIMENEZ VALDEZ </t>
  </si>
  <si>
    <t>AUXILIAR DE INFORMATICA</t>
  </si>
  <si>
    <t>ALTA-      01/03/2020</t>
  </si>
  <si>
    <t>Alta 03- Junio -2019</t>
  </si>
  <si>
    <t>PrIma Diciembre y junio.</t>
  </si>
  <si>
    <t xml:space="preserve">Prima Junio y diciembre </t>
  </si>
  <si>
    <t>ALTA EL 1 MARZO 2020</t>
  </si>
  <si>
    <t>ALTA EL 01/03/2020</t>
  </si>
  <si>
    <t>ALTA 15 DE ENERO 2020</t>
  </si>
  <si>
    <t>Instructor de mariachi La Labor de Guadalupe y Hostotipaquillo</t>
  </si>
  <si>
    <t>C. AMALIA CALDERA</t>
  </si>
  <si>
    <t>ELBANGELINA</t>
  </si>
  <si>
    <t>AUXILIAR EN DESARROLLO RURAL</t>
  </si>
  <si>
    <t>ALTA EL 30 ABRIL 2020</t>
  </si>
  <si>
    <t>PRIMA OCTUBRE Y ABRIL.</t>
  </si>
  <si>
    <t>Paulino</t>
  </si>
  <si>
    <t xml:space="preserve">ALONDRA JANETH MONROY MIRAMONTES </t>
  </si>
  <si>
    <t>ALTA EN ENERO 2020</t>
  </si>
  <si>
    <t>ALTA EN NOV 2018</t>
  </si>
  <si>
    <t>VIRIDIANA RODRIGUEZ BRICEÑO</t>
  </si>
  <si>
    <t>JULIA BAUTISTA GARCIA</t>
  </si>
  <si>
    <t>ALTA EL 4 DE JUNIO 2020</t>
  </si>
  <si>
    <t>ALTA 16 DE JUNIO 2020</t>
  </si>
  <si>
    <t xml:space="preserve">AUXILIAR EN OBRA PUBLICA </t>
  </si>
  <si>
    <t>DIRECTORA DE CATASTRO</t>
  </si>
  <si>
    <t>Alta 7 de Julio 2020</t>
  </si>
  <si>
    <t xml:space="preserve">MENSUAL </t>
  </si>
  <si>
    <t xml:space="preserve">QUINCENAL </t>
  </si>
  <si>
    <t>Hiram Josafat</t>
  </si>
  <si>
    <t>alta 16 de gosto 2020</t>
  </si>
  <si>
    <t>Karina</t>
  </si>
  <si>
    <t>Oscar Rodolfo</t>
  </si>
  <si>
    <t>Vialidad</t>
  </si>
  <si>
    <t>C. ELPIDIO MACIAS GALINDO</t>
  </si>
  <si>
    <t>alta el 17 de abril 2020</t>
  </si>
  <si>
    <t>alta el 8 de mayo 2020</t>
  </si>
  <si>
    <t xml:space="preserve">PENSION POR JUBILACION </t>
  </si>
  <si>
    <t>PENSION POR INVALIDEZ</t>
  </si>
  <si>
    <t xml:space="preserve">TOTAL </t>
  </si>
  <si>
    <t>ALVARO CARRILLO LOPEZ</t>
  </si>
  <si>
    <t>PENSION AL 100%</t>
  </si>
  <si>
    <t>PENSION AL 90%</t>
  </si>
  <si>
    <t>PENSION AL 60%</t>
  </si>
  <si>
    <t>OFICIAL DE LINEA         ( PROTECCION CIVIL )</t>
  </si>
  <si>
    <t xml:space="preserve">MARIA DEL CONSUELO AMEZQUITA SANDOVAL </t>
  </si>
  <si>
    <t>PABLO VIALVA ENRIQUEZ</t>
  </si>
  <si>
    <t>ALTA 16 DE OCTUBRE 2020</t>
  </si>
  <si>
    <t>DIRECTOR DE DEPORTE</t>
  </si>
  <si>
    <t>AGUSTIN GONZALEZ PIZ</t>
  </si>
  <si>
    <t>Claudia</t>
  </si>
  <si>
    <t>Sandoval</t>
  </si>
  <si>
    <t>Guillermo</t>
  </si>
  <si>
    <t>ALTA EL 8 DE DIC. 2020</t>
  </si>
  <si>
    <t xml:space="preserve">EVENTUALES </t>
  </si>
  <si>
    <t xml:space="preserve">SUBTOTAL </t>
  </si>
  <si>
    <t xml:space="preserve">AUMENTO </t>
  </si>
  <si>
    <t xml:space="preserve">AUX GENERAL </t>
  </si>
  <si>
    <t xml:space="preserve">SUELDO NETO </t>
  </si>
  <si>
    <t>AUMENTO 4%</t>
  </si>
  <si>
    <t>NOMINA DE REGIDORES DEL 01 AL  15 DE ENERO 2021</t>
  </si>
  <si>
    <t>NOMINA PERSONAL PERMANENTE DEL 01 AL 15 DE ENERO  2021</t>
  </si>
  <si>
    <t>NOMINA PERSONAL PERMANENTE DE 01  AL 15 DE ENERO  2021</t>
  </si>
  <si>
    <t>NOMINA PERSONAL PERMANENTE DEL 01 AL 15 ENERO  2021</t>
  </si>
  <si>
    <t>NOMINA PERSONAL PERMANENTE DEL 01 AL 15  DE ENERO DE   2021</t>
  </si>
  <si>
    <t>NOMINA DEL 01  AL 15 DE ENERO DEL 2021</t>
  </si>
  <si>
    <t>NOMINA DEL 01  AL 15 DE ENERO  DE 2021</t>
  </si>
  <si>
    <t>NOMINA DE PENSIONADOS DEL 01 AL 15  DE ENERO   2021</t>
  </si>
  <si>
    <t>PAGO DEL MES DE ENERO 2021</t>
  </si>
  <si>
    <t>H. Ayuntamiento de Hostotipaquillo Jal 2018-2021 Nomina Correspondiente al mes de Enero 2021</t>
  </si>
  <si>
    <t>Rojas</t>
  </si>
  <si>
    <t>Isela</t>
  </si>
  <si>
    <t>NOMINA  DEL 01 AL 15 DE ENERO  2021</t>
  </si>
  <si>
    <t xml:space="preserve">                DEL 01 AL 15 DE ENERO  DEL 2021</t>
  </si>
  <si>
    <t>ALTA EL 11 DEL ENERO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</si>
</sst>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h:mm:ss\ AM/PM;@"/>
  </numFmts>
  <fonts count="99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3"/>
      <color theme="1"/>
      <name val="Arial Rounded MT Bold"/>
      <family val="2"/>
    </font>
    <font>
      <sz val="10"/>
      <color theme="1"/>
      <name val="Calibri"/>
      <family val="2"/>
      <scheme val="minor"/>
    </font>
    <font>
      <sz val="10"/>
      <color theme="3"/>
      <name val="Aharoni"/>
      <charset val="177"/>
    </font>
    <font>
      <sz val="8"/>
      <color rgb="FF000000"/>
      <name val="Arial"/>
      <family val="2"/>
    </font>
    <font>
      <sz val="9"/>
      <name val="Arial"/>
      <family val="2"/>
    </font>
    <font>
      <b/>
      <sz val="10"/>
      <color theme="1"/>
      <name val="Calibri"/>
      <family val="2"/>
      <scheme val="minor"/>
    </font>
    <font>
      <b/>
      <i/>
      <sz val="10"/>
      <color theme="3"/>
      <name val="Aharoni"/>
      <charset val="177"/>
    </font>
    <font>
      <b/>
      <sz val="8.5"/>
      <name val="Arial"/>
      <family val="2"/>
    </font>
    <font>
      <i/>
      <sz val="9"/>
      <color theme="1"/>
      <name val="Aharoni"/>
      <charset val="177"/>
    </font>
    <font>
      <sz val="9"/>
      <color theme="1"/>
      <name val="Aharoni"/>
      <charset val="177"/>
    </font>
    <font>
      <sz val="12"/>
      <color theme="1"/>
      <name val="Cooper Black"/>
      <family val="1"/>
    </font>
    <font>
      <b/>
      <i/>
      <sz val="9"/>
      <color theme="1"/>
      <name val="Arial"/>
      <family val="2"/>
    </font>
    <font>
      <b/>
      <sz val="9"/>
      <color theme="1"/>
      <name val="Cooper Black"/>
      <family val="1"/>
    </font>
    <font>
      <b/>
      <sz val="8"/>
      <color theme="1"/>
      <name val="Cooper Black"/>
      <family val="1"/>
    </font>
    <font>
      <b/>
      <sz val="9"/>
      <color theme="1"/>
      <name val="Arial Black"/>
      <family val="2"/>
    </font>
    <font>
      <sz val="8"/>
      <color theme="1"/>
      <name val="Calibri"/>
      <family val="2"/>
      <scheme val="minor"/>
    </font>
    <font>
      <b/>
      <i/>
      <sz val="9"/>
      <color theme="1"/>
      <name val="Arial Black"/>
      <family val="2"/>
    </font>
    <font>
      <b/>
      <sz val="8"/>
      <color theme="1"/>
      <name val="Arial Black"/>
      <family val="2"/>
    </font>
    <font>
      <b/>
      <i/>
      <sz val="9"/>
      <color theme="3"/>
      <name val="Arial Black"/>
      <family val="2"/>
    </font>
    <font>
      <b/>
      <sz val="9"/>
      <color theme="3"/>
      <name val="Arial Black"/>
      <family val="2"/>
    </font>
    <font>
      <b/>
      <i/>
      <sz val="8"/>
      <color theme="3"/>
      <name val="Arial Black"/>
      <family val="2"/>
    </font>
    <font>
      <i/>
      <sz val="10"/>
      <color theme="1"/>
      <name val="Aharoni"/>
      <charset val="177"/>
    </font>
    <font>
      <sz val="8"/>
      <name val="Arial"/>
      <family val="2"/>
    </font>
    <font>
      <b/>
      <i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Arial"/>
      <family val="2"/>
    </font>
    <font>
      <i/>
      <sz val="12"/>
      <color theme="1"/>
      <name val="Arial Black"/>
      <family val="2"/>
    </font>
    <font>
      <u/>
      <sz val="12"/>
      <color theme="1"/>
      <name val="Arial Rounded MT Bold"/>
      <family val="2"/>
    </font>
    <font>
      <i/>
      <sz val="12"/>
      <name val="Arial Black"/>
      <family val="2"/>
    </font>
    <font>
      <b/>
      <u/>
      <sz val="12"/>
      <color theme="1"/>
      <name val="Arial Unicode MS"/>
      <family val="2"/>
    </font>
    <font>
      <sz val="9"/>
      <color rgb="FF000000"/>
      <name val="Arial"/>
      <family val="2"/>
    </font>
    <font>
      <sz val="11"/>
      <color theme="1"/>
      <name val="Arial Black"/>
      <family val="2"/>
    </font>
    <font>
      <sz val="8"/>
      <color theme="1"/>
      <name val="Arial Black"/>
      <family val="2"/>
    </font>
    <font>
      <sz val="28"/>
      <color theme="1"/>
      <name val="Cooper Black"/>
      <family val="1"/>
    </font>
    <font>
      <sz val="16"/>
      <color theme="1"/>
      <name val="Arial Black"/>
      <family val="2"/>
    </font>
    <font>
      <sz val="14"/>
      <color theme="1"/>
      <name val="Arial Rounded MT Bold"/>
      <family val="2"/>
    </font>
    <font>
      <i/>
      <sz val="11"/>
      <color theme="1"/>
      <name val="Aharoni"/>
      <charset val="177"/>
    </font>
    <font>
      <b/>
      <i/>
      <u/>
      <sz val="9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2"/>
      <name val="Arial Unicode MS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9"/>
      <name val="Arial Black"/>
      <family val="2"/>
    </font>
    <font>
      <b/>
      <i/>
      <sz val="8"/>
      <color theme="1"/>
      <name val="Arial Black"/>
      <family val="2"/>
    </font>
    <font>
      <sz val="28"/>
      <color theme="1"/>
      <name val="Arial Black"/>
      <family val="2"/>
    </font>
    <font>
      <b/>
      <sz val="8"/>
      <color theme="8"/>
      <name val="Arial"/>
      <family val="2"/>
    </font>
    <font>
      <b/>
      <sz val="9"/>
      <color indexed="81"/>
      <name val="Tahoma"/>
      <family val="2"/>
    </font>
    <font>
      <b/>
      <sz val="10"/>
      <color theme="7" tint="-0.249977111117893"/>
      <name val="Arial"/>
      <family val="2"/>
    </font>
    <font>
      <b/>
      <sz val="8"/>
      <color theme="7" tint="-0.249977111117893"/>
      <name val="Arial"/>
      <family val="2"/>
    </font>
    <font>
      <b/>
      <sz val="11"/>
      <color theme="7" tint="-0.249977111117893"/>
      <name val="Calibri"/>
      <family val="2"/>
      <scheme val="minor"/>
    </font>
    <font>
      <b/>
      <sz val="9"/>
      <color theme="7" tint="-0.249977111117893"/>
      <name val="Arial"/>
      <family val="2"/>
    </font>
    <font>
      <sz val="8"/>
      <color theme="7" tint="-0.249977111117893"/>
      <name val="Arial"/>
      <family val="2"/>
    </font>
    <font>
      <sz val="9"/>
      <color theme="7" tint="-0.249977111117893"/>
      <name val="Arial"/>
      <family val="2"/>
    </font>
    <font>
      <sz val="8"/>
      <color theme="7" tint="-0.249977111117893"/>
      <name val="Calibri"/>
      <family val="2"/>
      <scheme val="minor"/>
    </font>
    <font>
      <sz val="12"/>
      <color theme="7" tint="-0.249977111117893"/>
      <name val="Cooper Black"/>
      <family val="1"/>
    </font>
    <font>
      <b/>
      <sz val="8"/>
      <color theme="7" tint="-0.249977111117893"/>
      <name val="Cooper Black"/>
      <family val="1"/>
    </font>
    <font>
      <b/>
      <i/>
      <sz val="10"/>
      <color theme="7" tint="-0.249977111117893"/>
      <name val="Aharoni"/>
      <charset val="177"/>
    </font>
    <font>
      <sz val="10"/>
      <color theme="7" tint="-0.24997711111789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4"/>
      <color theme="7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i/>
      <sz val="12"/>
      <color rgb="FFAC193D"/>
      <name val="Calibri"/>
      <family val="2"/>
      <scheme val="minor"/>
    </font>
    <font>
      <sz val="8"/>
      <color rgb="FFFF0000"/>
      <name val="Arial"/>
      <family val="2"/>
    </font>
    <font>
      <b/>
      <sz val="8"/>
      <color theme="4" tint="0.79998168889431442"/>
      <name val="Arial"/>
      <family val="2"/>
    </font>
    <font>
      <b/>
      <i/>
      <sz val="9"/>
      <color theme="4" tint="0.79998168889431442"/>
      <name val="Arial"/>
      <family val="2"/>
    </font>
    <font>
      <b/>
      <sz val="9"/>
      <color theme="4" tint="0.79998168889431442"/>
      <name val="Cooper Black"/>
      <family val="1"/>
    </font>
    <font>
      <b/>
      <sz val="8"/>
      <color theme="4" tint="0.79998168889431442"/>
      <name val="Cooper Black"/>
      <family val="1"/>
    </font>
    <font>
      <b/>
      <sz val="9"/>
      <color theme="4" tint="0.79998168889431442"/>
      <name val="Arial Black"/>
      <family val="2"/>
    </font>
    <font>
      <b/>
      <sz val="9"/>
      <color theme="4" tint="0.79998168889431442"/>
      <name val="Arial"/>
      <family val="2"/>
    </font>
    <font>
      <b/>
      <i/>
      <sz val="9"/>
      <color theme="4" tint="0.79998168889431442"/>
      <name val="Arial Black"/>
      <family val="2"/>
    </font>
    <font>
      <b/>
      <sz val="8"/>
      <color theme="4" tint="0.79998168889431442"/>
      <name val="Arial Black"/>
      <family val="2"/>
    </font>
    <font>
      <b/>
      <i/>
      <sz val="8"/>
      <color theme="4" tint="0.79998168889431442"/>
      <name val="Arial Black"/>
      <family val="2"/>
    </font>
    <font>
      <sz val="10"/>
      <color theme="4" tint="0.79998168889431442"/>
      <name val="Aharoni"/>
      <charset val="177"/>
    </font>
    <font>
      <b/>
      <sz val="10"/>
      <color theme="4" tint="0.79998168889431442"/>
      <name val="Aharoni"/>
      <charset val="177"/>
    </font>
    <font>
      <sz val="11"/>
      <color theme="4" tint="0.79998168889431442"/>
      <name val="Calibri"/>
      <family val="2"/>
      <scheme val="minor"/>
    </font>
    <font>
      <sz val="14"/>
      <color theme="4" tint="0.79998168889431442"/>
      <name val="Arial"/>
      <family val="2"/>
    </font>
    <font>
      <b/>
      <sz val="8"/>
      <color theme="0" tint="-4.9989318521683403E-2"/>
      <name val="Arial"/>
      <family val="2"/>
    </font>
    <font>
      <b/>
      <sz val="8"/>
      <color theme="2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89E9C"/>
        <bgColor indexed="64"/>
      </patternFill>
    </fill>
    <fill>
      <patternFill patternType="solid">
        <fgColor rgb="FFF56587"/>
        <bgColor indexed="64"/>
      </patternFill>
    </fill>
  </fills>
  <borders count="49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rgb="FF0000FD"/>
      </left>
      <right style="thin">
        <color indexed="64"/>
      </right>
      <top style="thin">
        <color rgb="FF0000FD"/>
      </top>
      <bottom style="double">
        <color rgb="FF0000FD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FD"/>
      </right>
      <top/>
      <bottom style="thin">
        <color indexed="64"/>
      </bottom>
      <diagonal/>
    </border>
    <border>
      <left style="thin">
        <color rgb="FF0000FD"/>
      </left>
      <right style="thin">
        <color rgb="FF0000FD"/>
      </right>
      <top/>
      <bottom style="thin">
        <color indexed="64"/>
      </bottom>
      <diagonal/>
    </border>
    <border>
      <left style="thin">
        <color rgb="FF0000FD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rgb="FF0000FD"/>
      </top>
      <bottom style="thin">
        <color indexed="64"/>
      </bottom>
      <diagonal/>
    </border>
    <border>
      <left/>
      <right/>
      <top style="double">
        <color rgb="FF0000FD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FD"/>
      </left>
      <right/>
      <top/>
      <bottom style="thin">
        <color indexed="64"/>
      </bottom>
      <diagonal/>
    </border>
    <border>
      <left style="thin">
        <color rgb="FF0000FD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FD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711">
    <xf numFmtId="0" fontId="0" fillId="0" borderId="0" xfId="0"/>
    <xf numFmtId="0" fontId="1" fillId="2" borderId="5" xfId="0" applyFont="1" applyFill="1" applyBorder="1" applyAlignment="1">
      <alignment horizontal="center" vertical="center"/>
    </xf>
    <xf numFmtId="0" fontId="19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9" fillId="0" borderId="7" xfId="0" applyFont="1" applyBorder="1" applyAlignment="1">
      <alignment vertical="center"/>
    </xf>
    <xf numFmtId="0" fontId="15" fillId="2" borderId="0" xfId="0" applyFont="1" applyFill="1" applyAlignment="1">
      <alignment vertical="center"/>
    </xf>
    <xf numFmtId="0" fontId="19" fillId="2" borderId="5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horizontal="right" vertical="center"/>
    </xf>
    <xf numFmtId="164" fontId="8" fillId="0" borderId="5" xfId="0" applyNumberFormat="1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5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Continuous" vertical="center"/>
    </xf>
    <xf numFmtId="0" fontId="15" fillId="0" borderId="5" xfId="0" applyFont="1" applyBorder="1" applyAlignment="1">
      <alignment horizontal="left" vertical="center"/>
    </xf>
    <xf numFmtId="49" fontId="5" fillId="0" borderId="5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43" fontId="1" fillId="0" borderId="5" xfId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49" fontId="5" fillId="0" borderId="21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right" vertical="center"/>
    </xf>
    <xf numFmtId="49" fontId="5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3" fontId="1" fillId="0" borderId="20" xfId="1" applyFont="1" applyBorder="1" applyAlignment="1">
      <alignment vertical="center"/>
    </xf>
    <xf numFmtId="43" fontId="1" fillId="0" borderId="10" xfId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20" xfId="0" applyFont="1" applyBorder="1" applyAlignment="1">
      <alignment horizontal="right" vertical="center"/>
    </xf>
    <xf numFmtId="49" fontId="1" fillId="0" borderId="1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164" fontId="5" fillId="0" borderId="4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vertical="center"/>
    </xf>
    <xf numFmtId="43" fontId="1" fillId="0" borderId="19" xfId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44" fontId="17" fillId="0" borderId="0" xfId="2" applyFont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44" fontId="17" fillId="0" borderId="2" xfId="2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40" fillId="0" borderId="4" xfId="0" applyFont="1" applyBorder="1" applyAlignment="1">
      <alignment vertical="center"/>
    </xf>
    <xf numFmtId="44" fontId="17" fillId="0" borderId="0" xfId="2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44" fontId="17" fillId="0" borderId="4" xfId="2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7" fillId="2" borderId="0" xfId="0" applyFont="1" applyFill="1" applyAlignment="1">
      <alignment vertical="center"/>
    </xf>
    <xf numFmtId="44" fontId="17" fillId="2" borderId="0" xfId="2" applyFont="1" applyFill="1" applyAlignment="1">
      <alignment vertical="center"/>
    </xf>
    <xf numFmtId="0" fontId="17" fillId="2" borderId="15" xfId="0" applyFont="1" applyFill="1" applyBorder="1" applyAlignment="1">
      <alignment vertical="center"/>
    </xf>
    <xf numFmtId="12" fontId="13" fillId="2" borderId="5" xfId="0" applyNumberFormat="1" applyFont="1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44" fontId="13" fillId="2" borderId="5" xfId="0" applyNumberFormat="1" applyFont="1" applyFill="1" applyBorder="1" applyAlignment="1">
      <alignment vertical="center"/>
    </xf>
    <xf numFmtId="44" fontId="13" fillId="2" borderId="5" xfId="2" applyFont="1" applyFill="1" applyBorder="1" applyAlignment="1">
      <alignment vertical="center"/>
    </xf>
    <xf numFmtId="44" fontId="13" fillId="0" borderId="5" xfId="2" applyFont="1" applyBorder="1" applyAlignment="1">
      <alignment vertical="center"/>
    </xf>
    <xf numFmtId="44" fontId="13" fillId="2" borderId="9" xfId="2" applyFont="1" applyFill="1" applyBorder="1" applyAlignment="1">
      <alignment vertical="center"/>
    </xf>
    <xf numFmtId="0" fontId="17" fillId="2" borderId="5" xfId="0" applyFont="1" applyFill="1" applyBorder="1" applyAlignment="1">
      <alignment vertical="center"/>
    </xf>
    <xf numFmtId="44" fontId="13" fillId="2" borderId="0" xfId="2" applyFont="1" applyFill="1" applyBorder="1" applyAlignment="1">
      <alignment vertical="center"/>
    </xf>
    <xf numFmtId="0" fontId="17" fillId="2" borderId="8" xfId="0" applyFont="1" applyFill="1" applyBorder="1" applyAlignment="1">
      <alignment vertical="center"/>
    </xf>
    <xf numFmtId="12" fontId="13" fillId="0" borderId="5" xfId="0" applyNumberFormat="1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44" fontId="13" fillId="0" borderId="5" xfId="0" applyNumberFormat="1" applyFont="1" applyBorder="1" applyAlignment="1">
      <alignment vertical="center"/>
    </xf>
    <xf numFmtId="44" fontId="13" fillId="0" borderId="5" xfId="2" applyFont="1" applyFill="1" applyBorder="1" applyAlignment="1">
      <alignment vertical="center"/>
    </xf>
    <xf numFmtId="43" fontId="17" fillId="2" borderId="8" xfId="1" applyFont="1" applyFill="1" applyBorder="1" applyAlignment="1">
      <alignment vertical="center"/>
    </xf>
    <xf numFmtId="0" fontId="20" fillId="0" borderId="5" xfId="0" applyFont="1" applyBorder="1" applyAlignment="1">
      <alignment vertical="center"/>
    </xf>
    <xf numFmtId="44" fontId="20" fillId="0" borderId="5" xfId="0" applyNumberFormat="1" applyFont="1" applyBorder="1" applyAlignment="1">
      <alignment vertical="center"/>
    </xf>
    <xf numFmtId="12" fontId="13" fillId="2" borderId="7" xfId="0" applyNumberFormat="1" applyFont="1" applyFill="1" applyBorder="1" applyAlignment="1">
      <alignment vertical="center"/>
    </xf>
    <xf numFmtId="0" fontId="13" fillId="2" borderId="7" xfId="0" applyFont="1" applyFill="1" applyBorder="1" applyAlignment="1">
      <alignment vertical="center"/>
    </xf>
    <xf numFmtId="44" fontId="13" fillId="2" borderId="7" xfId="0" applyNumberFormat="1" applyFont="1" applyFill="1" applyBorder="1" applyAlignment="1">
      <alignment vertical="center"/>
    </xf>
    <xf numFmtId="44" fontId="20" fillId="2" borderId="7" xfId="2" applyFont="1" applyFill="1" applyBorder="1" applyAlignment="1">
      <alignment vertical="center"/>
    </xf>
    <xf numFmtId="44" fontId="13" fillId="2" borderId="7" xfId="2" applyFont="1" applyFill="1" applyBorder="1" applyAlignment="1">
      <alignment vertical="center"/>
    </xf>
    <xf numFmtId="43" fontId="13" fillId="2" borderId="5" xfId="0" applyNumberFormat="1" applyFont="1" applyFill="1" applyBorder="1" applyAlignment="1">
      <alignment vertical="center"/>
    </xf>
    <xf numFmtId="44" fontId="20" fillId="2" borderId="5" xfId="0" applyNumberFormat="1" applyFont="1" applyFill="1" applyBorder="1" applyAlignment="1">
      <alignment vertical="center"/>
    </xf>
    <xf numFmtId="43" fontId="13" fillId="2" borderId="7" xfId="0" applyNumberFormat="1" applyFont="1" applyFill="1" applyBorder="1" applyAlignment="1">
      <alignment vertical="center"/>
    </xf>
    <xf numFmtId="0" fontId="17" fillId="2" borderId="18" xfId="0" applyFont="1" applyFill="1" applyBorder="1" applyAlignment="1">
      <alignment vertical="center"/>
    </xf>
    <xf numFmtId="44" fontId="21" fillId="2" borderId="0" xfId="2" applyFont="1" applyFill="1" applyAlignment="1">
      <alignment horizontal="center" vertical="center"/>
    </xf>
    <xf numFmtId="44" fontId="17" fillId="2" borderId="0" xfId="0" applyNumberFormat="1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44" fontId="23" fillId="2" borderId="0" xfId="2" applyFont="1" applyFill="1" applyBorder="1" applyAlignment="1">
      <alignment vertical="center"/>
    </xf>
    <xf numFmtId="44" fontId="10" fillId="2" borderId="0" xfId="2" applyFont="1" applyFill="1" applyBorder="1" applyAlignment="1">
      <alignment vertical="center"/>
    </xf>
    <xf numFmtId="0" fontId="18" fillId="2" borderId="4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9" fillId="0" borderId="5" xfId="0" applyFont="1" applyBorder="1" applyAlignment="1">
      <alignment vertical="center" wrapText="1"/>
    </xf>
    <xf numFmtId="0" fontId="40" fillId="0" borderId="13" xfId="0" applyFont="1" applyBorder="1" applyAlignment="1">
      <alignment vertical="center"/>
    </xf>
    <xf numFmtId="0" fontId="40" fillId="0" borderId="2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20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0" fillId="0" borderId="15" xfId="0" applyFont="1" applyBorder="1" applyAlignment="1">
      <alignment vertical="center"/>
    </xf>
    <xf numFmtId="44" fontId="13" fillId="0" borderId="9" xfId="2" applyFont="1" applyFill="1" applyBorder="1" applyAlignment="1">
      <alignment vertical="center"/>
    </xf>
    <xf numFmtId="2" fontId="31" fillId="0" borderId="8" xfId="0" applyNumberFormat="1" applyFont="1" applyBorder="1" applyAlignment="1">
      <alignment vertical="center"/>
    </xf>
    <xf numFmtId="2" fontId="31" fillId="0" borderId="0" xfId="0" applyNumberFormat="1" applyFont="1" applyAlignment="1">
      <alignment vertical="center"/>
    </xf>
    <xf numFmtId="44" fontId="31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1" fillId="2" borderId="5" xfId="0" applyFont="1" applyFill="1" applyBorder="1" applyAlignment="1">
      <alignment vertical="center"/>
    </xf>
    <xf numFmtId="0" fontId="20" fillId="2" borderId="5" xfId="0" applyFont="1" applyFill="1" applyBorder="1" applyAlignment="1">
      <alignment vertical="center"/>
    </xf>
    <xf numFmtId="2" fontId="41" fillId="0" borderId="8" xfId="0" applyNumberFormat="1" applyFont="1" applyBorder="1" applyAlignment="1">
      <alignment vertical="center"/>
    </xf>
    <xf numFmtId="44" fontId="13" fillId="0" borderId="7" xfId="2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38" fillId="0" borderId="0" xfId="0" applyFont="1" applyAlignment="1">
      <alignment vertical="center"/>
    </xf>
    <xf numFmtId="44" fontId="38" fillId="2" borderId="0" xfId="0" applyNumberFormat="1" applyFont="1" applyFill="1" applyAlignment="1">
      <alignment vertical="center"/>
    </xf>
    <xf numFmtId="44" fontId="42" fillId="0" borderId="0" xfId="2" applyFont="1" applyFill="1" applyBorder="1" applyAlignment="1">
      <alignment vertical="center"/>
    </xf>
    <xf numFmtId="44" fontId="42" fillId="0" borderId="0" xfId="0" applyNumberFormat="1" applyFont="1" applyAlignment="1">
      <alignment horizontal="center" vertical="center"/>
    </xf>
    <xf numFmtId="44" fontId="40" fillId="0" borderId="0" xfId="2" applyFont="1" applyAlignment="1">
      <alignment vertical="center"/>
    </xf>
    <xf numFmtId="0" fontId="13" fillId="2" borderId="5" xfId="0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7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31" fillId="0" borderId="7" xfId="0" applyFont="1" applyBorder="1" applyAlignment="1">
      <alignment vertical="center"/>
    </xf>
    <xf numFmtId="0" fontId="37" fillId="0" borderId="0" xfId="0" applyFont="1" applyAlignment="1">
      <alignment vertical="center"/>
    </xf>
    <xf numFmtId="44" fontId="31" fillId="0" borderId="0" xfId="2" applyFont="1" applyAlignment="1">
      <alignment vertical="center"/>
    </xf>
    <xf numFmtId="0" fontId="31" fillId="0" borderId="15" xfId="0" applyFont="1" applyBorder="1" applyAlignment="1">
      <alignment vertical="center"/>
    </xf>
    <xf numFmtId="44" fontId="1" fillId="0" borderId="5" xfId="2" applyFont="1" applyBorder="1" applyAlignment="1">
      <alignment vertical="center"/>
    </xf>
    <xf numFmtId="44" fontId="38" fillId="0" borderId="5" xfId="2" applyFont="1" applyBorder="1" applyAlignment="1">
      <alignment vertical="center"/>
    </xf>
    <xf numFmtId="44" fontId="13" fillId="0" borderId="9" xfId="0" applyNumberFormat="1" applyFont="1" applyBorder="1" applyAlignment="1">
      <alignment vertical="center"/>
    </xf>
    <xf numFmtId="0" fontId="31" fillId="0" borderId="8" xfId="0" applyFont="1" applyBorder="1" applyAlignment="1">
      <alignment vertical="center"/>
    </xf>
    <xf numFmtId="44" fontId="1" fillId="0" borderId="7" xfId="2" applyFont="1" applyBorder="1" applyAlignment="1">
      <alignment vertical="center"/>
    </xf>
    <xf numFmtId="0" fontId="31" fillId="0" borderId="5" xfId="0" applyFont="1" applyBorder="1" applyAlignment="1">
      <alignment vertical="center"/>
    </xf>
    <xf numFmtId="44" fontId="1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44" fontId="10" fillId="0" borderId="0" xfId="0" applyNumberFormat="1" applyFont="1" applyAlignment="1">
      <alignment vertical="center"/>
    </xf>
    <xf numFmtId="44" fontId="10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2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5" xfId="0" applyFont="1" applyBorder="1" applyAlignment="1">
      <alignment vertical="center"/>
    </xf>
    <xf numFmtId="44" fontId="0" fillId="0" borderId="0" xfId="2" applyFont="1" applyAlignment="1">
      <alignment vertical="center"/>
    </xf>
    <xf numFmtId="49" fontId="1" fillId="0" borderId="5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vertical="center"/>
    </xf>
    <xf numFmtId="44" fontId="0" fillId="3" borderId="0" xfId="2" applyFont="1" applyFill="1" applyAlignment="1">
      <alignment vertical="center"/>
    </xf>
    <xf numFmtId="44" fontId="0" fillId="2" borderId="0" xfId="2" applyFont="1" applyFill="1" applyAlignment="1">
      <alignment vertical="center"/>
    </xf>
    <xf numFmtId="0" fontId="0" fillId="2" borderId="0" xfId="0" applyFill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vertical="center"/>
    </xf>
    <xf numFmtId="44" fontId="0" fillId="7" borderId="0" xfId="0" applyNumberFormat="1" applyFill="1" applyAlignment="1">
      <alignment vertical="center"/>
    </xf>
    <xf numFmtId="0" fontId="10" fillId="2" borderId="0" xfId="0" applyFont="1" applyFill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/>
    <xf numFmtId="44" fontId="0" fillId="0" borderId="5" xfId="2" applyFont="1" applyBorder="1"/>
    <xf numFmtId="44" fontId="0" fillId="0" borderId="0" xfId="2" applyFont="1"/>
    <xf numFmtId="44" fontId="17" fillId="3" borderId="0" xfId="2" applyFont="1" applyFill="1" applyAlignment="1">
      <alignment vertical="center"/>
    </xf>
    <xf numFmtId="44" fontId="0" fillId="3" borderId="0" xfId="2" applyFont="1" applyFill="1"/>
    <xf numFmtId="44" fontId="14" fillId="2" borderId="5" xfId="2" applyFont="1" applyFill="1" applyBorder="1"/>
    <xf numFmtId="0" fontId="13" fillId="2" borderId="5" xfId="0" applyFont="1" applyFill="1" applyBorder="1" applyAlignment="1">
      <alignment horizontal="left"/>
    </xf>
    <xf numFmtId="0" fontId="13" fillId="2" borderId="5" xfId="0" applyFont="1" applyFill="1" applyBorder="1"/>
    <xf numFmtId="0" fontId="13" fillId="0" borderId="9" xfId="0" applyFont="1" applyBorder="1" applyAlignment="1">
      <alignment horizontal="center" vertical="center"/>
    </xf>
    <xf numFmtId="44" fontId="14" fillId="0" borderId="5" xfId="2" applyFont="1" applyBorder="1"/>
    <xf numFmtId="0" fontId="13" fillId="0" borderId="5" xfId="0" applyFont="1" applyBorder="1" applyAlignment="1">
      <alignment horizontal="left"/>
    </xf>
    <xf numFmtId="0" fontId="13" fillId="0" borderId="5" xfId="0" applyFont="1" applyBorder="1"/>
    <xf numFmtId="12" fontId="13" fillId="0" borderId="5" xfId="0" applyNumberFormat="1" applyFont="1" applyBorder="1" applyAlignment="1">
      <alignment horizontal="left"/>
    </xf>
    <xf numFmtId="0" fontId="48" fillId="0" borderId="5" xfId="0" applyFont="1" applyBorder="1"/>
    <xf numFmtId="0" fontId="48" fillId="0" borderId="7" xfId="0" applyFont="1" applyBorder="1"/>
    <xf numFmtId="0" fontId="50" fillId="2" borderId="0" xfId="0" applyFont="1" applyFill="1" applyAlignment="1">
      <alignment horizontal="center"/>
    </xf>
    <xf numFmtId="44" fontId="1" fillId="0" borderId="0" xfId="2" applyFont="1" applyAlignment="1">
      <alignment vertical="center"/>
    </xf>
    <xf numFmtId="44" fontId="40" fillId="3" borderId="0" xfId="0" applyNumberFormat="1" applyFont="1" applyFill="1" applyAlignment="1">
      <alignment vertical="center"/>
    </xf>
    <xf numFmtId="0" fontId="25" fillId="0" borderId="0" xfId="0" applyFont="1"/>
    <xf numFmtId="0" fontId="26" fillId="0" borderId="0" xfId="0" applyFont="1"/>
    <xf numFmtId="44" fontId="26" fillId="0" borderId="0" xfId="2" applyFont="1" applyAlignment="1"/>
    <xf numFmtId="0" fontId="28" fillId="0" borderId="3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10" fillId="0" borderId="3" xfId="0" applyFont="1" applyBorder="1"/>
    <xf numFmtId="44" fontId="30" fillId="0" borderId="9" xfId="2" applyFont="1" applyBorder="1" applyAlignment="1">
      <alignment horizontal="center"/>
    </xf>
    <xf numFmtId="0" fontId="10" fillId="0" borderId="10" xfId="0" applyFont="1" applyBorder="1"/>
    <xf numFmtId="0" fontId="30" fillId="0" borderId="10" xfId="0" applyFont="1" applyBorder="1"/>
    <xf numFmtId="0" fontId="37" fillId="0" borderId="0" xfId="0" applyFont="1"/>
    <xf numFmtId="0" fontId="31" fillId="0" borderId="0" xfId="0" applyFont="1"/>
    <xf numFmtId="44" fontId="31" fillId="0" borderId="0" xfId="2" applyFont="1"/>
    <xf numFmtId="0" fontId="14" fillId="0" borderId="5" xfId="0" applyFont="1" applyBorder="1"/>
    <xf numFmtId="44" fontId="14" fillId="0" borderId="5" xfId="0" applyNumberFormat="1" applyFont="1" applyBorder="1"/>
    <xf numFmtId="0" fontId="0" fillId="0" borderId="14" xfId="0" applyBorder="1"/>
    <xf numFmtId="0" fontId="13" fillId="0" borderId="7" xfId="0" applyFont="1" applyBorder="1"/>
    <xf numFmtId="0" fontId="55" fillId="0" borderId="5" xfId="0" applyFont="1" applyBorder="1"/>
    <xf numFmtId="0" fontId="56" fillId="0" borderId="8" xfId="0" applyFont="1" applyBorder="1"/>
    <xf numFmtId="0" fontId="17" fillId="0" borderId="0" xfId="0" applyFont="1"/>
    <xf numFmtId="44" fontId="15" fillId="0" borderId="30" xfId="0" applyNumberFormat="1" applyFont="1" applyBorder="1"/>
    <xf numFmtId="0" fontId="55" fillId="0" borderId="0" xfId="0" applyFont="1"/>
    <xf numFmtId="0" fontId="56" fillId="0" borderId="0" xfId="0" applyFont="1"/>
    <xf numFmtId="44" fontId="17" fillId="0" borderId="0" xfId="0" applyNumberFormat="1" applyFont="1"/>
    <xf numFmtId="44" fontId="17" fillId="0" borderId="0" xfId="2" applyFont="1" applyBorder="1"/>
    <xf numFmtId="0" fontId="0" fillId="0" borderId="4" xfId="0" applyBorder="1"/>
    <xf numFmtId="0" fontId="10" fillId="0" borderId="0" xfId="0" applyFont="1"/>
    <xf numFmtId="0" fontId="13" fillId="0" borderId="0" xfId="0" applyFont="1"/>
    <xf numFmtId="44" fontId="13" fillId="0" borderId="0" xfId="2" applyFont="1"/>
    <xf numFmtId="164" fontId="12" fillId="3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32" xfId="0" applyBorder="1"/>
    <xf numFmtId="0" fontId="1" fillId="0" borderId="33" xfId="0" applyFont="1" applyBorder="1" applyAlignment="1">
      <alignment vertical="center"/>
    </xf>
    <xf numFmtId="43" fontId="31" fillId="0" borderId="0" xfId="1" applyFont="1" applyFill="1" applyAlignment="1">
      <alignment vertical="center"/>
    </xf>
    <xf numFmtId="0" fontId="13" fillId="0" borderId="7" xfId="0" applyFont="1" applyBorder="1" applyAlignment="1">
      <alignment vertical="center"/>
    </xf>
    <xf numFmtId="44" fontId="0" fillId="0" borderId="0" xfId="2" applyFont="1" applyBorder="1"/>
    <xf numFmtId="0" fontId="1" fillId="0" borderId="5" xfId="0" applyFont="1" applyBorder="1" applyAlignment="1">
      <alignment vertical="center" wrapText="1"/>
    </xf>
    <xf numFmtId="44" fontId="0" fillId="0" borderId="0" xfId="0" applyNumberFormat="1"/>
    <xf numFmtId="8" fontId="0" fillId="0" borderId="0" xfId="0" applyNumberFormat="1"/>
    <xf numFmtId="44" fontId="0" fillId="4" borderId="5" xfId="2" applyFont="1" applyFill="1" applyBorder="1"/>
    <xf numFmtId="44" fontId="0" fillId="4" borderId="0" xfId="0" applyNumberFormat="1" applyFill="1"/>
    <xf numFmtId="0" fontId="0" fillId="8" borderId="5" xfId="0" applyFill="1" applyBorder="1"/>
    <xf numFmtId="8" fontId="0" fillId="0" borderId="0" xfId="2" applyNumberFormat="1" applyFont="1" applyBorder="1"/>
    <xf numFmtId="44" fontId="0" fillId="4" borderId="0" xfId="2" applyFont="1" applyFill="1" applyBorder="1"/>
    <xf numFmtId="44" fontId="58" fillId="0" borderId="0" xfId="0" applyNumberFormat="1" applyFont="1"/>
    <xf numFmtId="0" fontId="58" fillId="0" borderId="0" xfId="0" applyFont="1"/>
    <xf numFmtId="0" fontId="0" fillId="0" borderId="34" xfId="0" applyBorder="1"/>
    <xf numFmtId="44" fontId="0" fillId="0" borderId="34" xfId="0" applyNumberFormat="1" applyBorder="1"/>
    <xf numFmtId="44" fontId="0" fillId="9" borderId="17" xfId="0" applyNumberFormat="1" applyFill="1" applyBorder="1"/>
    <xf numFmtId="0" fontId="58" fillId="0" borderId="35" xfId="0" applyFont="1" applyBorder="1" applyAlignment="1">
      <alignment horizontal="center"/>
    </xf>
    <xf numFmtId="0" fontId="0" fillId="0" borderId="5" xfId="0" applyBorder="1" applyAlignment="1">
      <alignment horizontal="center"/>
    </xf>
    <xf numFmtId="43" fontId="0" fillId="0" borderId="0" xfId="1" applyFont="1"/>
    <xf numFmtId="0" fontId="59" fillId="0" borderId="0" xfId="0" applyFont="1" applyAlignment="1">
      <alignment horizontal="center"/>
    </xf>
    <xf numFmtId="0" fontId="59" fillId="0" borderId="0" xfId="0" applyFont="1"/>
    <xf numFmtId="43" fontId="0" fillId="0" borderId="0" xfId="1" applyFont="1" applyAlignment="1">
      <alignment horizontal="right"/>
    </xf>
    <xf numFmtId="0" fontId="0" fillId="0" borderId="0" xfId="0" applyAlignment="1">
      <alignment horizontal="right"/>
    </xf>
    <xf numFmtId="44" fontId="0" fillId="0" borderId="5" xfId="1" applyNumberFormat="1" applyFont="1" applyFill="1" applyBorder="1"/>
    <xf numFmtId="0" fontId="58" fillId="0" borderId="0" xfId="0" applyFont="1" applyAlignment="1">
      <alignment horizontal="center"/>
    </xf>
    <xf numFmtId="43" fontId="0" fillId="2" borderId="0" xfId="1" applyFont="1" applyFill="1" applyBorder="1"/>
    <xf numFmtId="0" fontId="0" fillId="0" borderId="6" xfId="0" applyBorder="1"/>
    <xf numFmtId="44" fontId="0" fillId="2" borderId="6" xfId="1" applyNumberFormat="1" applyFont="1" applyFill="1" applyBorder="1"/>
    <xf numFmtId="0" fontId="0" fillId="10" borderId="8" xfId="0" applyFill="1" applyBorder="1" applyAlignment="1">
      <alignment horizontal="center"/>
    </xf>
    <xf numFmtId="2" fontId="31" fillId="3" borderId="0" xfId="0" applyNumberFormat="1" applyFont="1" applyFill="1" applyAlignment="1">
      <alignment vertical="center"/>
    </xf>
    <xf numFmtId="43" fontId="31" fillId="3" borderId="0" xfId="1" applyFont="1" applyFill="1" applyAlignment="1">
      <alignment vertical="center"/>
    </xf>
    <xf numFmtId="43" fontId="0" fillId="0" borderId="0" xfId="0" applyNumberFormat="1"/>
    <xf numFmtId="0" fontId="51" fillId="0" borderId="0" xfId="0" applyFont="1" applyAlignment="1">
      <alignment horizontal="center"/>
    </xf>
    <xf numFmtId="0" fontId="48" fillId="0" borderId="5" xfId="0" applyFont="1" applyBorder="1" applyAlignment="1">
      <alignment horizontal="center"/>
    </xf>
    <xf numFmtId="44" fontId="0" fillId="11" borderId="5" xfId="2" applyFont="1" applyFill="1" applyBorder="1"/>
    <xf numFmtId="0" fontId="1" fillId="0" borderId="5" xfId="0" applyFont="1" applyBorder="1"/>
    <xf numFmtId="0" fontId="21" fillId="0" borderId="4" xfId="0" applyFon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4" fontId="10" fillId="3" borderId="38" xfId="0" applyNumberFormat="1" applyFont="1" applyFill="1" applyBorder="1" applyAlignment="1">
      <alignment vertical="center"/>
    </xf>
    <xf numFmtId="44" fontId="1" fillId="0" borderId="5" xfId="0" applyNumberFormat="1" applyFont="1" applyBorder="1" applyAlignment="1">
      <alignment vertical="center"/>
    </xf>
    <xf numFmtId="43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2" applyNumberFormat="1" applyFont="1" applyAlignment="1">
      <alignment horizontal="right" vertical="center"/>
    </xf>
    <xf numFmtId="164" fontId="0" fillId="0" borderId="0" xfId="0" applyNumberFormat="1" applyAlignment="1">
      <alignment vertical="center"/>
    </xf>
    <xf numFmtId="43" fontId="1" fillId="0" borderId="0" xfId="0" applyNumberFormat="1" applyFont="1" applyAlignment="1">
      <alignment horizontal="right" vertical="center"/>
    </xf>
    <xf numFmtId="44" fontId="40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left" vertical="center" wrapText="1"/>
    </xf>
    <xf numFmtId="43" fontId="15" fillId="0" borderId="31" xfId="1" applyFont="1" applyBorder="1"/>
    <xf numFmtId="43" fontId="1" fillId="0" borderId="0" xfId="1" applyFont="1" applyAlignment="1">
      <alignment vertical="center"/>
    </xf>
    <xf numFmtId="0" fontId="13" fillId="2" borderId="5" xfId="0" applyFont="1" applyFill="1" applyBorder="1" applyAlignment="1">
      <alignment wrapText="1"/>
    </xf>
    <xf numFmtId="44" fontId="0" fillId="0" borderId="4" xfId="0" applyNumberFormat="1" applyBorder="1"/>
    <xf numFmtId="44" fontId="14" fillId="0" borderId="5" xfId="2" applyFont="1" applyFill="1" applyBorder="1"/>
    <xf numFmtId="0" fontId="0" fillId="2" borderId="5" xfId="0" applyFill="1" applyBorder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3" fontId="1" fillId="0" borderId="5" xfId="0" applyNumberFormat="1" applyFont="1" applyBorder="1" applyAlignment="1">
      <alignment vertical="center"/>
    </xf>
    <xf numFmtId="0" fontId="1" fillId="0" borderId="8" xfId="0" applyFont="1" applyBorder="1" applyAlignment="1">
      <alignment horizontal="right" vertical="center"/>
    </xf>
    <xf numFmtId="0" fontId="1" fillId="0" borderId="5" xfId="0" applyFont="1" applyBorder="1" applyAlignment="1">
      <alignment horizontal="center"/>
    </xf>
    <xf numFmtId="14" fontId="0" fillId="0" borderId="0" xfId="0" applyNumberFormat="1"/>
    <xf numFmtId="0" fontId="0" fillId="0" borderId="9" xfId="0" applyBorder="1"/>
    <xf numFmtId="0" fontId="15" fillId="2" borderId="0" xfId="0" applyFont="1" applyFill="1" applyAlignment="1">
      <alignment horizontal="center" vertical="center"/>
    </xf>
    <xf numFmtId="0" fontId="0" fillId="0" borderId="2" xfId="0" applyBorder="1" applyAlignment="1">
      <alignment vertical="center"/>
    </xf>
    <xf numFmtId="164" fontId="1" fillId="0" borderId="0" xfId="2" applyNumberFormat="1" applyFont="1" applyFill="1" applyAlignment="1">
      <alignment vertical="center"/>
    </xf>
    <xf numFmtId="164" fontId="1" fillId="2" borderId="5" xfId="0" applyNumberFormat="1" applyFont="1" applyFill="1" applyBorder="1" applyAlignment="1">
      <alignment vertical="center"/>
    </xf>
    <xf numFmtId="44" fontId="1" fillId="12" borderId="0" xfId="2" applyFont="1" applyFill="1" applyAlignment="1">
      <alignment vertical="center"/>
    </xf>
    <xf numFmtId="43" fontId="0" fillId="0" borderId="5" xfId="1" applyFont="1" applyBorder="1"/>
    <xf numFmtId="43" fontId="59" fillId="0" borderId="0" xfId="1" applyFont="1"/>
    <xf numFmtId="43" fontId="0" fillId="0" borderId="5" xfId="1" applyFont="1" applyFill="1" applyBorder="1"/>
    <xf numFmtId="43" fontId="0" fillId="0" borderId="0" xfId="1" applyFont="1" applyBorder="1"/>
    <xf numFmtId="43" fontId="0" fillId="0" borderId="6" xfId="1" applyFont="1" applyBorder="1"/>
    <xf numFmtId="0" fontId="60" fillId="5" borderId="0" xfId="0" applyFont="1" applyFill="1" applyAlignment="1">
      <alignment horizontal="center" vertical="center"/>
    </xf>
    <xf numFmtId="44" fontId="1" fillId="2" borderId="7" xfId="2" applyFont="1" applyFill="1" applyBorder="1" applyAlignment="1">
      <alignment vertical="center"/>
    </xf>
    <xf numFmtId="44" fontId="13" fillId="2" borderId="9" xfId="0" applyNumberFormat="1" applyFont="1" applyFill="1" applyBorder="1" applyAlignment="1">
      <alignment vertical="center"/>
    </xf>
    <xf numFmtId="14" fontId="0" fillId="0" borderId="0" xfId="0" applyNumberFormat="1" applyAlignment="1">
      <alignment vertical="center"/>
    </xf>
    <xf numFmtId="165" fontId="0" fillId="0" borderId="0" xfId="0" applyNumberFormat="1"/>
    <xf numFmtId="0" fontId="62" fillId="2" borderId="0" xfId="0" applyFont="1" applyFill="1" applyAlignment="1">
      <alignment horizontal="center"/>
    </xf>
    <xf numFmtId="17" fontId="0" fillId="0" borderId="0" xfId="0" applyNumberFormat="1"/>
    <xf numFmtId="0" fontId="1" fillId="0" borderId="8" xfId="0" applyFont="1" applyBorder="1" applyAlignment="1">
      <alignment vertical="center"/>
    </xf>
    <xf numFmtId="44" fontId="0" fillId="0" borderId="41" xfId="2" applyFont="1" applyBorder="1"/>
    <xf numFmtId="44" fontId="14" fillId="0" borderId="14" xfId="0" applyNumberFormat="1" applyFont="1" applyBorder="1"/>
    <xf numFmtId="44" fontId="14" fillId="13" borderId="14" xfId="0" applyNumberFormat="1" applyFont="1" applyFill="1" applyBorder="1"/>
    <xf numFmtId="0" fontId="10" fillId="0" borderId="5" xfId="0" applyFont="1" applyBorder="1"/>
    <xf numFmtId="0" fontId="35" fillId="0" borderId="5" xfId="0" applyFont="1" applyBorder="1"/>
    <xf numFmtId="0" fontId="34" fillId="0" borderId="5" xfId="0" applyFont="1" applyBorder="1"/>
    <xf numFmtId="0" fontId="35" fillId="0" borderId="5" xfId="0" applyFont="1" applyBorder="1" applyAlignment="1">
      <alignment horizontal="center"/>
    </xf>
    <xf numFmtId="44" fontId="14" fillId="0" borderId="11" xfId="0" applyNumberFormat="1" applyFont="1" applyBorder="1"/>
    <xf numFmtId="44" fontId="15" fillId="3" borderId="17" xfId="0" applyNumberFormat="1" applyFont="1" applyFill="1" applyBorder="1"/>
    <xf numFmtId="44" fontId="15" fillId="3" borderId="24" xfId="0" applyNumberFormat="1" applyFont="1" applyFill="1" applyBorder="1"/>
    <xf numFmtId="44" fontId="14" fillId="13" borderId="9" xfId="0" applyNumberFormat="1" applyFont="1" applyFill="1" applyBorder="1"/>
    <xf numFmtId="44" fontId="14" fillId="13" borderId="13" xfId="0" applyNumberFormat="1" applyFont="1" applyFill="1" applyBorder="1"/>
    <xf numFmtId="0" fontId="26" fillId="0" borderId="19" xfId="0" applyFont="1" applyBorder="1"/>
    <xf numFmtId="0" fontId="1" fillId="0" borderId="0" xfId="0" applyFont="1" applyAlignment="1">
      <alignment vertical="center" wrapText="1"/>
    </xf>
    <xf numFmtId="164" fontId="38" fillId="0" borderId="5" xfId="0" applyNumberFormat="1" applyFont="1" applyBorder="1" applyAlignment="1">
      <alignment vertical="center"/>
    </xf>
    <xf numFmtId="0" fontId="63" fillId="0" borderId="0" xfId="0" applyFont="1" applyAlignment="1">
      <alignment vertical="center"/>
    </xf>
    <xf numFmtId="0" fontId="13" fillId="0" borderId="5" xfId="0" applyFont="1" applyBorder="1" applyAlignment="1">
      <alignment wrapText="1"/>
    </xf>
    <xf numFmtId="2" fontId="31" fillId="0" borderId="5" xfId="0" applyNumberFormat="1" applyFont="1" applyBorder="1" applyAlignment="1">
      <alignment vertical="center"/>
    </xf>
    <xf numFmtId="44" fontId="0" fillId="14" borderId="0" xfId="0" applyNumberFormat="1" applyFill="1"/>
    <xf numFmtId="43" fontId="0" fillId="0" borderId="34" xfId="0" applyNumberFormat="1" applyBorder="1"/>
    <xf numFmtId="43" fontId="0" fillId="4" borderId="0" xfId="1" applyFont="1" applyFill="1"/>
    <xf numFmtId="43" fontId="65" fillId="0" borderId="5" xfId="1" applyFont="1" applyBorder="1" applyAlignment="1">
      <alignment horizontal="left" vertical="center"/>
    </xf>
    <xf numFmtId="43" fontId="66" fillId="0" borderId="5" xfId="1" applyFont="1" applyFill="1" applyBorder="1" applyAlignment="1">
      <alignment vertical="center"/>
    </xf>
    <xf numFmtId="43" fontId="66" fillId="0" borderId="5" xfId="1" applyFont="1" applyFill="1" applyBorder="1" applyAlignment="1">
      <alignment horizontal="center" vertical="center"/>
    </xf>
    <xf numFmtId="43" fontId="65" fillId="0" borderId="0" xfId="1" applyFont="1" applyBorder="1" applyAlignment="1">
      <alignment horizontal="left" vertical="center"/>
    </xf>
    <xf numFmtId="43" fontId="66" fillId="0" borderId="6" xfId="1" applyFont="1" applyFill="1" applyBorder="1" applyAlignment="1">
      <alignment horizontal="right" vertical="center"/>
    </xf>
    <xf numFmtId="43" fontId="66" fillId="0" borderId="0" xfId="1" applyFont="1" applyFill="1" applyBorder="1" applyAlignment="1">
      <alignment vertical="center"/>
    </xf>
    <xf numFmtId="43" fontId="66" fillId="0" borderId="0" xfId="1" applyFont="1" applyFill="1" applyAlignment="1">
      <alignment vertical="center"/>
    </xf>
    <xf numFmtId="43" fontId="66" fillId="0" borderId="4" xfId="1" applyFont="1" applyFill="1" applyBorder="1" applyAlignment="1">
      <alignment vertical="center"/>
    </xf>
    <xf numFmtId="43" fontId="66" fillId="0" borderId="6" xfId="1" applyFont="1" applyBorder="1" applyAlignment="1">
      <alignment horizontal="right" vertical="center"/>
    </xf>
    <xf numFmtId="43" fontId="66" fillId="0" borderId="4" xfId="1" applyFont="1" applyBorder="1" applyAlignment="1">
      <alignment vertical="center"/>
    </xf>
    <xf numFmtId="43" fontId="66" fillId="0" borderId="0" xfId="1" applyFont="1" applyAlignment="1">
      <alignment vertical="center"/>
    </xf>
    <xf numFmtId="43" fontId="66" fillId="0" borderId="0" xfId="1" applyFont="1" applyBorder="1" applyAlignment="1">
      <alignment vertical="center"/>
    </xf>
    <xf numFmtId="43" fontId="66" fillId="0" borderId="5" xfId="1" applyFont="1" applyBorder="1" applyAlignment="1">
      <alignment horizontal="center" vertical="center"/>
    </xf>
    <xf numFmtId="43" fontId="66" fillId="0" borderId="0" xfId="1" applyFont="1" applyFill="1" applyBorder="1" applyAlignment="1">
      <alignment horizontal="center" vertical="center" wrapText="1"/>
    </xf>
    <xf numFmtId="43" fontId="66" fillId="0" borderId="5" xfId="1" applyFont="1" applyFill="1" applyBorder="1" applyAlignment="1">
      <alignment horizontal="center"/>
    </xf>
    <xf numFmtId="43" fontId="67" fillId="0" borderId="0" xfId="1" applyFont="1" applyFill="1" applyBorder="1"/>
    <xf numFmtId="43" fontId="68" fillId="0" borderId="0" xfId="1" applyFont="1" applyBorder="1" applyAlignment="1">
      <alignment horizontal="center" vertical="center"/>
    </xf>
    <xf numFmtId="43" fontId="66" fillId="0" borderId="4" xfId="1" applyFont="1" applyBorder="1" applyAlignment="1">
      <alignment horizontal="center" vertical="center"/>
    </xf>
    <xf numFmtId="43" fontId="69" fillId="0" borderId="5" xfId="1" applyFont="1" applyFill="1" applyBorder="1" applyAlignment="1">
      <alignment vertical="center"/>
    </xf>
    <xf numFmtId="43" fontId="69" fillId="2" borderId="5" xfId="1" applyFont="1" applyFill="1" applyBorder="1" applyAlignment="1">
      <alignment vertical="center"/>
    </xf>
    <xf numFmtId="43" fontId="69" fillId="0" borderId="7" xfId="1" applyFont="1" applyFill="1" applyBorder="1" applyAlignment="1">
      <alignment vertical="center"/>
    </xf>
    <xf numFmtId="43" fontId="70" fillId="0" borderId="5" xfId="1" applyFont="1" applyFill="1" applyBorder="1" applyAlignment="1">
      <alignment vertical="center"/>
    </xf>
    <xf numFmtId="43" fontId="71" fillId="0" borderId="0" xfId="1" applyFont="1" applyBorder="1" applyAlignment="1">
      <alignment vertical="center"/>
    </xf>
    <xf numFmtId="43" fontId="71" fillId="0" borderId="4" xfId="1" applyFont="1" applyBorder="1" applyAlignment="1">
      <alignment vertical="center"/>
    </xf>
    <xf numFmtId="43" fontId="72" fillId="0" borderId="0" xfId="1" applyFont="1" applyAlignment="1">
      <alignment vertical="center"/>
    </xf>
    <xf numFmtId="43" fontId="73" fillId="0" borderId="0" xfId="1" applyFont="1" applyAlignment="1">
      <alignment horizontal="center" vertical="center"/>
    </xf>
    <xf numFmtId="43" fontId="71" fillId="0" borderId="0" xfId="1" applyFont="1" applyAlignment="1">
      <alignment vertical="center"/>
    </xf>
    <xf numFmtId="43" fontId="69" fillId="0" borderId="5" xfId="1" applyFont="1" applyBorder="1" applyAlignment="1">
      <alignment vertical="center"/>
    </xf>
    <xf numFmtId="43" fontId="69" fillId="0" borderId="7" xfId="1" applyFont="1" applyBorder="1" applyAlignment="1">
      <alignment vertical="center"/>
    </xf>
    <xf numFmtId="43" fontId="71" fillId="0" borderId="5" xfId="1" applyFont="1" applyBorder="1" applyAlignment="1">
      <alignment vertical="center"/>
    </xf>
    <xf numFmtId="43" fontId="74" fillId="0" borderId="0" xfId="1" applyFont="1" applyBorder="1" applyAlignment="1">
      <alignment horizontal="center" vertical="center"/>
    </xf>
    <xf numFmtId="43" fontId="65" fillId="0" borderId="0" xfId="1" applyFont="1" applyBorder="1" applyAlignment="1">
      <alignment vertical="center"/>
    </xf>
    <xf numFmtId="0" fontId="75" fillId="0" borderId="2" xfId="0" applyFont="1" applyBorder="1" applyAlignment="1">
      <alignment vertical="center"/>
    </xf>
    <xf numFmtId="0" fontId="75" fillId="0" borderId="0" xfId="0" applyFont="1" applyAlignment="1">
      <alignment vertical="center"/>
    </xf>
    <xf numFmtId="0" fontId="75" fillId="0" borderId="4" xfId="0" applyFont="1" applyBorder="1" applyAlignment="1">
      <alignment vertical="center"/>
    </xf>
    <xf numFmtId="0" fontId="75" fillId="2" borderId="0" xfId="0" applyFont="1" applyFill="1" applyAlignment="1">
      <alignment vertical="center"/>
    </xf>
    <xf numFmtId="44" fontId="70" fillId="2" borderId="5" xfId="0" applyNumberFormat="1" applyFont="1" applyFill="1" applyBorder="1" applyAlignment="1">
      <alignment vertical="center"/>
    </xf>
    <xf numFmtId="44" fontId="70" fillId="0" borderId="5" xfId="0" applyNumberFormat="1" applyFont="1" applyBorder="1" applyAlignment="1">
      <alignment vertical="center"/>
    </xf>
    <xf numFmtId="44" fontId="70" fillId="2" borderId="7" xfId="0" applyNumberFormat="1" applyFont="1" applyFill="1" applyBorder="1" applyAlignment="1">
      <alignment vertical="center"/>
    </xf>
    <xf numFmtId="43" fontId="70" fillId="2" borderId="5" xfId="0" applyNumberFormat="1" applyFont="1" applyFill="1" applyBorder="1" applyAlignment="1">
      <alignment vertical="center"/>
    </xf>
    <xf numFmtId="43" fontId="70" fillId="2" borderId="7" xfId="0" applyNumberFormat="1" applyFont="1" applyFill="1" applyBorder="1" applyAlignment="1">
      <alignment vertical="center"/>
    </xf>
    <xf numFmtId="0" fontId="74" fillId="2" borderId="0" xfId="0" applyFont="1" applyFill="1" applyAlignment="1">
      <alignment horizontal="center" vertical="center"/>
    </xf>
    <xf numFmtId="43" fontId="76" fillId="0" borderId="0" xfId="1" applyFont="1"/>
    <xf numFmtId="43" fontId="77" fillId="0" borderId="0" xfId="1" applyFont="1"/>
    <xf numFmtId="43" fontId="76" fillId="0" borderId="5" xfId="1" applyFont="1" applyBorder="1"/>
    <xf numFmtId="43" fontId="76" fillId="0" borderId="5" xfId="1" applyFont="1" applyFill="1" applyBorder="1"/>
    <xf numFmtId="43" fontId="76" fillId="10" borderId="8" xfId="1" applyFont="1" applyFill="1" applyBorder="1" applyAlignment="1">
      <alignment horizontal="center"/>
    </xf>
    <xf numFmtId="43" fontId="76" fillId="0" borderId="0" xfId="1" applyFont="1" applyBorder="1"/>
    <xf numFmtId="43" fontId="76" fillId="0" borderId="6" xfId="1" applyFont="1" applyBorder="1"/>
    <xf numFmtId="0" fontId="13" fillId="0" borderId="5" xfId="0" applyFont="1" applyBorder="1" applyAlignment="1">
      <alignment horizontal="center" vertical="center"/>
    </xf>
    <xf numFmtId="0" fontId="47" fillId="0" borderId="5" xfId="0" applyFont="1" applyBorder="1" applyAlignment="1">
      <alignment vertical="center"/>
    </xf>
    <xf numFmtId="49" fontId="38" fillId="0" borderId="5" xfId="0" applyNumberFormat="1" applyFont="1" applyBorder="1" applyAlignment="1">
      <alignment horizontal="center" vertical="center"/>
    </xf>
    <xf numFmtId="0" fontId="38" fillId="0" borderId="5" xfId="0" applyFont="1" applyBorder="1" applyAlignment="1">
      <alignment vertical="center"/>
    </xf>
    <xf numFmtId="164" fontId="38" fillId="0" borderId="9" xfId="0" applyNumberFormat="1" applyFont="1" applyBorder="1" applyAlignment="1">
      <alignment vertical="center"/>
    </xf>
    <xf numFmtId="0" fontId="38" fillId="0" borderId="7" xfId="0" applyFont="1" applyBorder="1" applyAlignment="1">
      <alignment vertical="center"/>
    </xf>
    <xf numFmtId="0" fontId="78" fillId="0" borderId="0" xfId="0" applyFont="1" applyAlignment="1">
      <alignment vertical="center"/>
    </xf>
    <xf numFmtId="44" fontId="78" fillId="0" borderId="0" xfId="2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2" borderId="0" xfId="0" applyFont="1" applyFill="1"/>
    <xf numFmtId="0" fontId="13" fillId="2" borderId="0" xfId="0" applyFont="1" applyFill="1" applyAlignment="1">
      <alignment wrapText="1"/>
    </xf>
    <xf numFmtId="12" fontId="13" fillId="0" borderId="0" xfId="0" applyNumberFormat="1" applyFont="1" applyAlignment="1">
      <alignment horizontal="left"/>
    </xf>
    <xf numFmtId="43" fontId="15" fillId="6" borderId="0" xfId="1" applyFont="1" applyFill="1" applyBorder="1"/>
    <xf numFmtId="44" fontId="14" fillId="0" borderId="0" xfId="2" applyFont="1" applyBorder="1"/>
    <xf numFmtId="0" fontId="13" fillId="0" borderId="21" xfId="0" applyFont="1" applyBorder="1" applyAlignment="1">
      <alignment horizontal="center" vertical="center"/>
    </xf>
    <xf numFmtId="0" fontId="13" fillId="2" borderId="43" xfId="0" applyFont="1" applyFill="1" applyBorder="1"/>
    <xf numFmtId="0" fontId="13" fillId="2" borderId="43" xfId="0" applyFont="1" applyFill="1" applyBorder="1" applyAlignment="1">
      <alignment wrapText="1"/>
    </xf>
    <xf numFmtId="0" fontId="13" fillId="0" borderId="43" xfId="0" applyFont="1" applyBorder="1"/>
    <xf numFmtId="12" fontId="13" fillId="0" borderId="43" xfId="0" applyNumberFormat="1" applyFont="1" applyBorder="1" applyAlignment="1">
      <alignment horizontal="left"/>
    </xf>
    <xf numFmtId="44" fontId="14" fillId="0" borderId="43" xfId="2" applyFont="1" applyBorder="1"/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/>
    </xf>
    <xf numFmtId="44" fontId="14" fillId="2" borderId="0" xfId="2" applyFont="1" applyFill="1" applyBorder="1"/>
    <xf numFmtId="44" fontId="14" fillId="0" borderId="0" xfId="2" applyFont="1" applyFill="1" applyBorder="1"/>
    <xf numFmtId="0" fontId="13" fillId="0" borderId="0" xfId="0" applyFont="1" applyAlignment="1">
      <alignment horizontal="left"/>
    </xf>
    <xf numFmtId="0" fontId="13" fillId="0" borderId="43" xfId="0" applyFont="1" applyBorder="1" applyAlignment="1">
      <alignment horizontal="center" vertical="center"/>
    </xf>
    <xf numFmtId="0" fontId="13" fillId="0" borderId="43" xfId="0" applyFont="1" applyBorder="1" applyAlignment="1">
      <alignment horizontal="left"/>
    </xf>
    <xf numFmtId="44" fontId="14" fillId="2" borderId="43" xfId="2" applyFont="1" applyFill="1" applyBorder="1"/>
    <xf numFmtId="44" fontId="15" fillId="6" borderId="0" xfId="2" applyFont="1" applyFill="1" applyBorder="1"/>
    <xf numFmtId="44" fontId="15" fillId="0" borderId="0" xfId="2" applyFont="1" applyFill="1" applyBorder="1"/>
    <xf numFmtId="0" fontId="14" fillId="0" borderId="6" xfId="0" applyFont="1" applyBorder="1"/>
    <xf numFmtId="44" fontId="15" fillId="3" borderId="44" xfId="0" applyNumberFormat="1" applyFont="1" applyFill="1" applyBorder="1"/>
    <xf numFmtId="44" fontId="15" fillId="3" borderId="6" xfId="0" applyNumberFormat="1" applyFont="1" applyFill="1" applyBorder="1"/>
    <xf numFmtId="43" fontId="1" fillId="0" borderId="5" xfId="1" applyFont="1" applyFill="1" applyBorder="1" applyAlignment="1">
      <alignment vertical="center"/>
    </xf>
    <xf numFmtId="0" fontId="13" fillId="2" borderId="5" xfId="0" applyFont="1" applyFill="1" applyBorder="1" applyAlignment="1">
      <alignment horizontal="center" vertical="center"/>
    </xf>
    <xf numFmtId="0" fontId="27" fillId="15" borderId="5" xfId="0" applyFont="1" applyFill="1" applyBorder="1" applyAlignment="1">
      <alignment horizontal="center"/>
    </xf>
    <xf numFmtId="0" fontId="27" fillId="15" borderId="7" xfId="0" applyFont="1" applyFill="1" applyBorder="1" applyAlignment="1">
      <alignment horizontal="center"/>
    </xf>
    <xf numFmtId="0" fontId="54" fillId="15" borderId="8" xfId="0" applyFont="1" applyFill="1" applyBorder="1" applyAlignment="1">
      <alignment horizontal="center"/>
    </xf>
    <xf numFmtId="0" fontId="32" fillId="15" borderId="19" xfId="0" applyFont="1" applyFill="1" applyBorder="1"/>
    <xf numFmtId="0" fontId="32" fillId="15" borderId="8" xfId="0" applyFont="1" applyFill="1" applyBorder="1"/>
    <xf numFmtId="0" fontId="36" fillId="15" borderId="14" xfId="0" applyFont="1" applyFill="1" applyBorder="1"/>
    <xf numFmtId="0" fontId="32" fillId="15" borderId="4" xfId="0" applyFont="1" applyFill="1" applyBorder="1"/>
    <xf numFmtId="0" fontId="32" fillId="15" borderId="19" xfId="0" applyFont="1" applyFill="1" applyBorder="1" applyAlignment="1">
      <alignment horizontal="center"/>
    </xf>
    <xf numFmtId="0" fontId="61" fillId="15" borderId="8" xfId="0" applyFont="1" applyFill="1" applyBorder="1" applyAlignment="1">
      <alignment horizontal="center"/>
    </xf>
    <xf numFmtId="44" fontId="32" fillId="15" borderId="14" xfId="2" applyFont="1" applyFill="1" applyBorder="1"/>
    <xf numFmtId="0" fontId="32" fillId="15" borderId="3" xfId="0" applyFont="1" applyFill="1" applyBorder="1"/>
    <xf numFmtId="0" fontId="32" fillId="15" borderId="10" xfId="0" applyFont="1" applyFill="1" applyBorder="1" applyAlignment="1">
      <alignment horizontal="center"/>
    </xf>
    <xf numFmtId="0" fontId="61" fillId="15" borderId="5" xfId="0" applyFont="1" applyFill="1" applyBorder="1" applyAlignment="1">
      <alignment horizontal="center"/>
    </xf>
    <xf numFmtId="44" fontId="32" fillId="15" borderId="9" xfId="2" applyFont="1" applyFill="1" applyBorder="1" applyAlignment="1"/>
    <xf numFmtId="0" fontId="30" fillId="15" borderId="10" xfId="0" applyFont="1" applyFill="1" applyBorder="1"/>
    <xf numFmtId="0" fontId="13" fillId="0" borderId="5" xfId="0" applyFont="1" applyBorder="1" applyAlignment="1">
      <alignment vertical="center" wrapText="1"/>
    </xf>
    <xf numFmtId="44" fontId="14" fillId="0" borderId="7" xfId="0" applyNumberFormat="1" applyFont="1" applyBorder="1"/>
    <xf numFmtId="43" fontId="1" fillId="0" borderId="0" xfId="1" applyFont="1" applyFill="1" applyBorder="1" applyAlignment="1">
      <alignment vertical="center"/>
    </xf>
    <xf numFmtId="43" fontId="1" fillId="0" borderId="12" xfId="1" applyFont="1" applyFill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12" fontId="13" fillId="0" borderId="7" xfId="0" applyNumberFormat="1" applyFont="1" applyBorder="1" applyAlignment="1">
      <alignment horizontal="left"/>
    </xf>
    <xf numFmtId="44" fontId="14" fillId="0" borderId="7" xfId="2" applyFont="1" applyBorder="1"/>
    <xf numFmtId="0" fontId="31" fillId="14" borderId="0" xfId="0" applyFont="1" applyFill="1" applyAlignment="1">
      <alignment vertical="center"/>
    </xf>
    <xf numFmtId="43" fontId="0" fillId="12" borderId="5" xfId="1" applyFont="1" applyFill="1" applyBorder="1"/>
    <xf numFmtId="164" fontId="1" fillId="5" borderId="5" xfId="0" applyNumberFormat="1" applyFont="1" applyFill="1" applyBorder="1" applyAlignment="1">
      <alignment vertical="center"/>
    </xf>
    <xf numFmtId="15" fontId="31" fillId="0" borderId="0" xfId="0" applyNumberFormat="1" applyFont="1" applyAlignment="1">
      <alignment vertical="center"/>
    </xf>
    <xf numFmtId="43" fontId="76" fillId="2" borderId="5" xfId="1" applyFont="1" applyFill="1" applyBorder="1"/>
    <xf numFmtId="43" fontId="0" fillId="2" borderId="5" xfId="1" applyFont="1" applyFill="1" applyBorder="1"/>
    <xf numFmtId="44" fontId="0" fillId="2" borderId="5" xfId="1" applyNumberFormat="1" applyFont="1" applyFill="1" applyBorder="1"/>
    <xf numFmtId="44" fontId="0" fillId="12" borderId="5" xfId="0" applyNumberFormat="1" applyFill="1" applyBorder="1"/>
    <xf numFmtId="44" fontId="0" fillId="4" borderId="5" xfId="0" applyNumberFormat="1" applyFill="1" applyBorder="1"/>
    <xf numFmtId="0" fontId="80" fillId="16" borderId="0" xfId="0" applyFont="1" applyFill="1" applyAlignment="1">
      <alignment vertical="center"/>
    </xf>
    <xf numFmtId="44" fontId="38" fillId="0" borderId="5" xfId="2" applyFont="1" applyFill="1" applyBorder="1" applyAlignment="1">
      <alignment vertical="center"/>
    </xf>
    <xf numFmtId="0" fontId="0" fillId="0" borderId="5" xfId="0" applyBorder="1" applyAlignment="1">
      <alignment wrapText="1"/>
    </xf>
    <xf numFmtId="0" fontId="79" fillId="0" borderId="0" xfId="0" applyFont="1"/>
    <xf numFmtId="0" fontId="33" fillId="15" borderId="9" xfId="0" applyFont="1" applyFill="1" applyBorder="1"/>
    <xf numFmtId="49" fontId="44" fillId="0" borderId="0" xfId="0" applyNumberFormat="1" applyFont="1" applyAlignment="1">
      <alignment horizontal="center" vertical="center"/>
    </xf>
    <xf numFmtId="164" fontId="1" fillId="0" borderId="5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44" fontId="0" fillId="0" borderId="0" xfId="2" applyFont="1" applyBorder="1" applyAlignment="1">
      <alignment vertical="center"/>
    </xf>
    <xf numFmtId="49" fontId="38" fillId="0" borderId="0" xfId="0" applyNumberFormat="1" applyFont="1" applyAlignment="1">
      <alignment horizontal="center" vertical="center"/>
    </xf>
    <xf numFmtId="164" fontId="38" fillId="0" borderId="0" xfId="0" applyNumberFormat="1" applyFont="1" applyAlignment="1">
      <alignment vertical="center"/>
    </xf>
    <xf numFmtId="164" fontId="38" fillId="17" borderId="5" xfId="0" applyNumberFormat="1" applyFont="1" applyFill="1" applyBorder="1" applyAlignment="1">
      <alignment vertical="center"/>
    </xf>
    <xf numFmtId="164" fontId="1" fillId="17" borderId="5" xfId="0" applyNumberFormat="1" applyFont="1" applyFill="1" applyBorder="1" applyAlignment="1">
      <alignment vertical="center"/>
    </xf>
    <xf numFmtId="164" fontId="1" fillId="3" borderId="0" xfId="0" applyNumberFormat="1" applyFont="1" applyFill="1" applyAlignment="1">
      <alignment vertical="center"/>
    </xf>
    <xf numFmtId="164" fontId="5" fillId="3" borderId="0" xfId="0" applyNumberFormat="1" applyFont="1" applyFill="1" applyAlignment="1">
      <alignment vertical="center"/>
    </xf>
    <xf numFmtId="49" fontId="43" fillId="0" borderId="0" xfId="0" applyNumberFormat="1" applyFont="1" applyAlignment="1">
      <alignment horizontal="center" vertical="center"/>
    </xf>
    <xf numFmtId="0" fontId="7" fillId="12" borderId="0" xfId="0" applyFont="1" applyFill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3" fontId="0" fillId="0" borderId="0" xfId="1" applyFont="1" applyAlignment="1">
      <alignment vertical="center"/>
    </xf>
    <xf numFmtId="43" fontId="0" fillId="0" borderId="0" xfId="1" applyFont="1" applyBorder="1" applyAlignment="1">
      <alignment vertical="center"/>
    </xf>
    <xf numFmtId="43" fontId="78" fillId="0" borderId="0" xfId="1" applyFont="1" applyFill="1" applyAlignment="1">
      <alignment vertical="center"/>
    </xf>
    <xf numFmtId="43" fontId="15" fillId="2" borderId="0" xfId="1" applyFont="1" applyFill="1" applyBorder="1" applyAlignment="1">
      <alignment vertical="center"/>
    </xf>
    <xf numFmtId="43" fontId="15" fillId="2" borderId="0" xfId="1" applyFont="1" applyFill="1" applyAlignment="1">
      <alignment vertical="center"/>
    </xf>
    <xf numFmtId="0" fontId="81" fillId="0" borderId="0" xfId="0" applyFont="1"/>
    <xf numFmtId="44" fontId="13" fillId="5" borderId="5" xfId="2" applyFont="1" applyFill="1" applyBorder="1" applyAlignment="1">
      <alignment vertical="center"/>
    </xf>
    <xf numFmtId="0" fontId="1" fillId="18" borderId="0" xfId="0" applyFont="1" applyFill="1" applyAlignment="1">
      <alignment vertical="center"/>
    </xf>
    <xf numFmtId="43" fontId="1" fillId="18" borderId="0" xfId="0" applyNumberFormat="1" applyFont="1" applyFill="1" applyAlignment="1">
      <alignment horizontal="right" vertical="center"/>
    </xf>
    <xf numFmtId="43" fontId="5" fillId="0" borderId="5" xfId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4" fontId="0" fillId="0" borderId="5" xfId="0" applyNumberFormat="1" applyBorder="1"/>
    <xf numFmtId="44" fontId="0" fillId="3" borderId="5" xfId="0" applyNumberFormat="1" applyFill="1" applyBorder="1"/>
    <xf numFmtId="0" fontId="0" fillId="0" borderId="5" xfId="0" applyBorder="1" applyAlignment="1">
      <alignment horizontal="center" wrapText="1"/>
    </xf>
    <xf numFmtId="9" fontId="0" fillId="0" borderId="5" xfId="0" applyNumberFormat="1" applyBorder="1" applyAlignment="1">
      <alignment horizontal="center" wrapText="1"/>
    </xf>
    <xf numFmtId="0" fontId="82" fillId="0" borderId="0" xfId="0" applyFont="1"/>
    <xf numFmtId="43" fontId="14" fillId="19" borderId="5" xfId="1" applyFont="1" applyFill="1" applyBorder="1"/>
    <xf numFmtId="43" fontId="14" fillId="19" borderId="7" xfId="1" applyFont="1" applyFill="1" applyBorder="1"/>
    <xf numFmtId="43" fontId="14" fillId="19" borderId="43" xfId="1" applyFont="1" applyFill="1" applyBorder="1"/>
    <xf numFmtId="44" fontId="14" fillId="19" borderId="5" xfId="2" applyFont="1" applyFill="1" applyBorder="1"/>
    <xf numFmtId="164" fontId="83" fillId="0" borderId="5" xfId="0" applyNumberFormat="1" applyFont="1" applyBorder="1" applyAlignment="1">
      <alignment horizontal="right" vertical="center"/>
    </xf>
    <xf numFmtId="44" fontId="20" fillId="0" borderId="5" xfId="2" applyFont="1" applyFill="1" applyBorder="1" applyAlignment="1">
      <alignment vertical="center"/>
    </xf>
    <xf numFmtId="44" fontId="20" fillId="0" borderId="7" xfId="2" applyFont="1" applyFill="1" applyBorder="1" applyAlignment="1">
      <alignment vertical="center"/>
    </xf>
    <xf numFmtId="0" fontId="84" fillId="21" borderId="28" xfId="0" applyFont="1" applyFill="1" applyBorder="1" applyAlignment="1">
      <alignment horizontal="center" vertical="center" wrapText="1"/>
    </xf>
    <xf numFmtId="0" fontId="84" fillId="21" borderId="29" xfId="0" applyFont="1" applyFill="1" applyBorder="1" applyAlignment="1">
      <alignment horizontal="center" vertical="center" wrapText="1"/>
    </xf>
    <xf numFmtId="0" fontId="84" fillId="21" borderId="5" xfId="0" applyFont="1" applyFill="1" applyBorder="1" applyAlignment="1">
      <alignment horizontal="center" vertical="center" wrapText="1"/>
    </xf>
    <xf numFmtId="43" fontId="84" fillId="21" borderId="5" xfId="1" applyFont="1" applyFill="1" applyBorder="1" applyAlignment="1">
      <alignment horizontal="center" vertical="center" wrapText="1"/>
    </xf>
    <xf numFmtId="0" fontId="84" fillId="21" borderId="1" xfId="0" applyFont="1" applyFill="1" applyBorder="1" applyAlignment="1">
      <alignment horizontal="center" vertical="center" wrapText="1"/>
    </xf>
    <xf numFmtId="43" fontId="84" fillId="21" borderId="1" xfId="1" applyFont="1" applyFill="1" applyBorder="1" applyAlignment="1">
      <alignment horizontal="center" vertical="center" wrapText="1"/>
    </xf>
    <xf numFmtId="0" fontId="84" fillId="21" borderId="23" xfId="0" applyFont="1" applyFill="1" applyBorder="1" applyAlignment="1">
      <alignment horizontal="center" vertical="center" wrapText="1"/>
    </xf>
    <xf numFmtId="0" fontId="85" fillId="21" borderId="15" xfId="0" applyFont="1" applyFill="1" applyBorder="1" applyAlignment="1">
      <alignment horizontal="center" vertical="center"/>
    </xf>
    <xf numFmtId="0" fontId="86" fillId="21" borderId="0" xfId="0" applyFont="1" applyFill="1" applyAlignment="1">
      <alignment horizontal="center" vertical="center"/>
    </xf>
    <xf numFmtId="0" fontId="87" fillId="21" borderId="0" xfId="0" applyFont="1" applyFill="1" applyAlignment="1">
      <alignment horizontal="center" vertical="center"/>
    </xf>
    <xf numFmtId="0" fontId="89" fillId="21" borderId="4" xfId="0" applyFont="1" applyFill="1" applyBorder="1" applyAlignment="1">
      <alignment vertical="center"/>
    </xf>
    <xf numFmtId="0" fontId="85" fillId="21" borderId="7" xfId="0" applyFont="1" applyFill="1" applyBorder="1" applyAlignment="1">
      <alignment vertical="center"/>
    </xf>
    <xf numFmtId="0" fontId="88" fillId="21" borderId="10" xfId="0" applyFont="1" applyFill="1" applyBorder="1" applyAlignment="1">
      <alignment vertical="center"/>
    </xf>
    <xf numFmtId="0" fontId="91" fillId="21" borderId="9" xfId="0" applyFont="1" applyFill="1" applyBorder="1" applyAlignment="1">
      <alignment vertical="center"/>
    </xf>
    <xf numFmtId="0" fontId="90" fillId="21" borderId="5" xfId="0" applyFont="1" applyFill="1" applyBorder="1" applyAlignment="1">
      <alignment vertical="center"/>
    </xf>
    <xf numFmtId="0" fontId="90" fillId="21" borderId="3" xfId="0" applyFont="1" applyFill="1" applyBorder="1" applyAlignment="1">
      <alignment vertical="center"/>
    </xf>
    <xf numFmtId="0" fontId="90" fillId="21" borderId="5" xfId="0" applyFont="1" applyFill="1" applyBorder="1" applyAlignment="1">
      <alignment horizontal="center" vertical="center"/>
    </xf>
    <xf numFmtId="0" fontId="90" fillId="21" borderId="10" xfId="0" applyFont="1" applyFill="1" applyBorder="1" applyAlignment="1">
      <alignment horizontal="center" vertical="center"/>
    </xf>
    <xf numFmtId="0" fontId="90" fillId="21" borderId="9" xfId="0" applyFont="1" applyFill="1" applyBorder="1" applyAlignment="1">
      <alignment horizontal="center" vertical="center"/>
    </xf>
    <xf numFmtId="0" fontId="90" fillId="21" borderId="9" xfId="0" applyFont="1" applyFill="1" applyBorder="1" applyAlignment="1">
      <alignment vertical="center"/>
    </xf>
    <xf numFmtId="0" fontId="90" fillId="21" borderId="10" xfId="0" applyFont="1" applyFill="1" applyBorder="1" applyAlignment="1">
      <alignment vertical="center"/>
    </xf>
    <xf numFmtId="0" fontId="88" fillId="21" borderId="3" xfId="0" applyFont="1" applyFill="1" applyBorder="1" applyAlignment="1">
      <alignment vertical="center"/>
    </xf>
    <xf numFmtId="0" fontId="85" fillId="21" borderId="8" xfId="0" applyFont="1" applyFill="1" applyBorder="1" applyAlignment="1">
      <alignment vertical="center"/>
    </xf>
    <xf numFmtId="0" fontId="90" fillId="21" borderId="19" xfId="0" applyFont="1" applyFill="1" applyBorder="1" applyAlignment="1">
      <alignment vertical="center"/>
    </xf>
    <xf numFmtId="0" fontId="90" fillId="21" borderId="8" xfId="0" applyFont="1" applyFill="1" applyBorder="1" applyAlignment="1">
      <alignment vertical="center"/>
    </xf>
    <xf numFmtId="0" fontId="92" fillId="21" borderId="14" xfId="0" applyFont="1" applyFill="1" applyBorder="1" applyAlignment="1">
      <alignment vertical="center"/>
    </xf>
    <xf numFmtId="0" fontId="90" fillId="21" borderId="4" xfId="0" applyFont="1" applyFill="1" applyBorder="1" applyAlignment="1">
      <alignment vertical="center"/>
    </xf>
    <xf numFmtId="0" fontId="90" fillId="21" borderId="8" xfId="0" applyFont="1" applyFill="1" applyBorder="1" applyAlignment="1">
      <alignment horizontal="center" vertical="center"/>
    </xf>
    <xf numFmtId="0" fontId="90" fillId="21" borderId="19" xfId="0" applyFont="1" applyFill="1" applyBorder="1" applyAlignment="1">
      <alignment horizontal="center" vertical="center"/>
    </xf>
    <xf numFmtId="0" fontId="90" fillId="21" borderId="14" xfId="0" applyFont="1" applyFill="1" applyBorder="1" applyAlignment="1">
      <alignment vertical="center"/>
    </xf>
    <xf numFmtId="43" fontId="91" fillId="21" borderId="9" xfId="1" applyFont="1" applyFill="1" applyBorder="1" applyAlignment="1">
      <alignment vertical="center"/>
    </xf>
    <xf numFmtId="43" fontId="92" fillId="21" borderId="14" xfId="1" applyFont="1" applyFill="1" applyBorder="1" applyAlignment="1">
      <alignment vertical="center"/>
    </xf>
    <xf numFmtId="0" fontId="93" fillId="21" borderId="15" xfId="0" applyFont="1" applyFill="1" applyBorder="1" applyAlignment="1">
      <alignment vertical="center"/>
    </xf>
    <xf numFmtId="0" fontId="93" fillId="21" borderId="0" xfId="0" applyFont="1" applyFill="1" applyAlignment="1">
      <alignment horizontal="center" vertical="center"/>
    </xf>
    <xf numFmtId="0" fontId="94" fillId="21" borderId="4" xfId="0" applyFont="1" applyFill="1" applyBorder="1" applyAlignment="1">
      <alignment horizontal="center" vertical="center"/>
    </xf>
    <xf numFmtId="44" fontId="93" fillId="21" borderId="8" xfId="2" applyFont="1" applyFill="1" applyBorder="1" applyAlignment="1">
      <alignment horizontal="center" vertical="center"/>
    </xf>
    <xf numFmtId="0" fontId="93" fillId="21" borderId="11" xfId="0" applyFont="1" applyFill="1" applyBorder="1" applyAlignment="1">
      <alignment vertical="center"/>
    </xf>
    <xf numFmtId="0" fontId="93" fillId="21" borderId="9" xfId="0" applyFont="1" applyFill="1" applyBorder="1" applyAlignment="1">
      <alignment horizontal="center" vertical="center"/>
    </xf>
    <xf numFmtId="0" fontId="93" fillId="21" borderId="3" xfId="0" applyFont="1" applyFill="1" applyBorder="1" applyAlignment="1">
      <alignment horizontal="center" vertical="center"/>
    </xf>
    <xf numFmtId="0" fontId="93" fillId="21" borderId="12" xfId="0" applyFont="1" applyFill="1" applyBorder="1" applyAlignment="1">
      <alignment vertical="center"/>
    </xf>
    <xf numFmtId="0" fontId="93" fillId="21" borderId="13" xfId="0" applyFont="1" applyFill="1" applyBorder="1" applyAlignment="1">
      <alignment vertical="center"/>
    </xf>
    <xf numFmtId="0" fontId="93" fillId="21" borderId="7" xfId="0" applyFont="1" applyFill="1" applyBorder="1" applyAlignment="1">
      <alignment vertical="center"/>
    </xf>
    <xf numFmtId="44" fontId="93" fillId="21" borderId="7" xfId="2" applyFont="1" applyFill="1" applyBorder="1" applyAlignment="1">
      <alignment vertical="center"/>
    </xf>
    <xf numFmtId="44" fontId="93" fillId="21" borderId="2" xfId="2" applyFont="1" applyFill="1" applyBorder="1" applyAlignment="1">
      <alignment vertical="center"/>
    </xf>
    <xf numFmtId="44" fontId="93" fillId="21" borderId="12" xfId="2" applyFont="1" applyFill="1" applyBorder="1" applyAlignment="1">
      <alignment vertical="center"/>
    </xf>
    <xf numFmtId="0" fontId="93" fillId="21" borderId="14" xfId="0" applyFont="1" applyFill="1" applyBorder="1" applyAlignment="1">
      <alignment vertical="center"/>
    </xf>
    <xf numFmtId="0" fontId="93" fillId="21" borderId="5" xfId="0" applyFont="1" applyFill="1" applyBorder="1" applyAlignment="1">
      <alignment vertical="center"/>
    </xf>
    <xf numFmtId="0" fontId="93" fillId="21" borderId="9" xfId="0" applyFont="1" applyFill="1" applyBorder="1" applyAlignment="1">
      <alignment vertical="center"/>
    </xf>
    <xf numFmtId="0" fontId="93" fillId="21" borderId="8" xfId="0" applyFont="1" applyFill="1" applyBorder="1" applyAlignment="1">
      <alignment vertical="center"/>
    </xf>
    <xf numFmtId="44" fontId="93" fillId="21" borderId="8" xfId="2" applyFont="1" applyFill="1" applyBorder="1" applyAlignment="1">
      <alignment vertical="center"/>
    </xf>
    <xf numFmtId="44" fontId="93" fillId="21" borderId="4" xfId="2" applyFont="1" applyFill="1" applyBorder="1" applyAlignment="1">
      <alignment vertical="center"/>
    </xf>
    <xf numFmtId="44" fontId="93" fillId="21" borderId="3" xfId="2" applyFont="1" applyFill="1" applyBorder="1" applyAlignment="1">
      <alignment vertical="center"/>
    </xf>
    <xf numFmtId="49" fontId="84" fillId="21" borderId="27" xfId="0" applyNumberFormat="1" applyFont="1" applyFill="1" applyBorder="1" applyAlignment="1">
      <alignment horizontal="center" vertical="center" wrapText="1"/>
    </xf>
    <xf numFmtId="0" fontId="84" fillId="21" borderId="45" xfId="0" applyFont="1" applyFill="1" applyBorder="1" applyAlignment="1">
      <alignment horizontal="center" vertical="center" wrapText="1"/>
    </xf>
    <xf numFmtId="0" fontId="84" fillId="21" borderId="19" xfId="0" applyFont="1" applyFill="1" applyBorder="1" applyAlignment="1">
      <alignment horizontal="center" vertical="center" wrapText="1"/>
    </xf>
    <xf numFmtId="0" fontId="95" fillId="21" borderId="5" xfId="0" applyFont="1" applyFill="1" applyBorder="1"/>
    <xf numFmtId="0" fontId="96" fillId="21" borderId="5" xfId="0" applyFont="1" applyFill="1" applyBorder="1" applyAlignment="1">
      <alignment horizontal="center"/>
    </xf>
    <xf numFmtId="43" fontId="96" fillId="21" borderId="5" xfId="1" applyFont="1" applyFill="1" applyBorder="1" applyAlignment="1">
      <alignment horizontal="center"/>
    </xf>
    <xf numFmtId="0" fontId="5" fillId="17" borderId="6" xfId="0" applyFont="1" applyFill="1" applyBorder="1" applyAlignment="1">
      <alignment horizontal="right" vertical="center"/>
    </xf>
    <xf numFmtId="164" fontId="12" fillId="17" borderId="6" xfId="0" applyNumberFormat="1" applyFont="1" applyFill="1" applyBorder="1" applyAlignment="1">
      <alignment horizontal="right" vertical="center"/>
    </xf>
    <xf numFmtId="43" fontId="0" fillId="20" borderId="8" xfId="1" applyFont="1" applyFill="1" applyBorder="1" applyAlignment="1">
      <alignment horizontal="center"/>
    </xf>
    <xf numFmtId="44" fontId="0" fillId="20" borderId="8" xfId="1" applyNumberFormat="1" applyFont="1" applyFill="1" applyBorder="1"/>
    <xf numFmtId="164" fontId="5" fillId="3" borderId="7" xfId="0" applyNumberFormat="1" applyFont="1" applyFill="1" applyBorder="1" applyAlignment="1">
      <alignment vertical="center"/>
    </xf>
    <xf numFmtId="49" fontId="97" fillId="21" borderId="22" xfId="0" applyNumberFormat="1" applyFont="1" applyFill="1" applyBorder="1" applyAlignment="1">
      <alignment horizontal="center" vertical="center" wrapText="1"/>
    </xf>
    <xf numFmtId="49" fontId="97" fillId="21" borderId="5" xfId="0" applyNumberFormat="1" applyFont="1" applyFill="1" applyBorder="1" applyAlignment="1">
      <alignment horizontal="center" vertical="center" wrapText="1"/>
    </xf>
    <xf numFmtId="44" fontId="42" fillId="3" borderId="38" xfId="2" applyFont="1" applyFill="1" applyBorder="1" applyAlignment="1">
      <alignment vertical="center"/>
    </xf>
    <xf numFmtId="44" fontId="10" fillId="3" borderId="17" xfId="2" applyFont="1" applyFill="1" applyBorder="1" applyAlignment="1">
      <alignment vertical="center"/>
    </xf>
    <xf numFmtId="44" fontId="0" fillId="3" borderId="36" xfId="1" applyNumberFormat="1" applyFont="1" applyFill="1" applyBorder="1"/>
    <xf numFmtId="0" fontId="98" fillId="21" borderId="28" xfId="0" applyFont="1" applyFill="1" applyBorder="1" applyAlignment="1">
      <alignment horizontal="center" vertical="center" wrapText="1"/>
    </xf>
    <xf numFmtId="49" fontId="98" fillId="21" borderId="27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left" vertical="center"/>
    </xf>
    <xf numFmtId="49" fontId="1" fillId="0" borderId="8" xfId="0" applyNumberFormat="1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43" fontId="66" fillId="0" borderId="8" xfId="1" applyFont="1" applyFill="1" applyBorder="1" applyAlignment="1">
      <alignment horizontal="center" vertical="center"/>
    </xf>
    <xf numFmtId="164" fontId="1" fillId="0" borderId="8" xfId="0" applyNumberFormat="1" applyFont="1" applyBorder="1" applyAlignment="1">
      <alignment vertical="center"/>
    </xf>
    <xf numFmtId="164" fontId="8" fillId="0" borderId="8" xfId="0" applyNumberFormat="1" applyFont="1" applyBorder="1" applyAlignment="1">
      <alignment vertical="center"/>
    </xf>
    <xf numFmtId="164" fontId="38" fillId="0" borderId="8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43" fontId="66" fillId="0" borderId="3" xfId="1" applyFont="1" applyFill="1" applyBorder="1" applyAlignment="1">
      <alignment vertical="center"/>
    </xf>
    <xf numFmtId="49" fontId="5" fillId="0" borderId="8" xfId="0" applyNumberFormat="1" applyFont="1" applyBorder="1" applyAlignment="1">
      <alignment vertical="center"/>
    </xf>
    <xf numFmtId="43" fontId="66" fillId="0" borderId="8" xfId="1" applyFont="1" applyFill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49" fontId="5" fillId="0" borderId="43" xfId="0" applyNumberFormat="1" applyFont="1" applyBorder="1" applyAlignment="1">
      <alignment horizontal="left" vertical="center"/>
    </xf>
    <xf numFmtId="0" fontId="1" fillId="0" borderId="43" xfId="0" applyFont="1" applyBorder="1" applyAlignment="1">
      <alignment horizontal="right" vertical="center"/>
    </xf>
    <xf numFmtId="43" fontId="66" fillId="0" borderId="43" xfId="1" applyFont="1" applyFill="1" applyBorder="1" applyAlignment="1">
      <alignment horizontal="right" vertical="center"/>
    </xf>
    <xf numFmtId="49" fontId="5" fillId="0" borderId="21" xfId="0" applyNumberFormat="1" applyFont="1" applyBorder="1" applyAlignment="1">
      <alignment vertical="center"/>
    </xf>
    <xf numFmtId="43" fontId="67" fillId="0" borderId="6" xfId="1" applyFont="1" applyFill="1" applyBorder="1"/>
    <xf numFmtId="164" fontId="12" fillId="3" borderId="43" xfId="0" applyNumberFormat="1" applyFont="1" applyFill="1" applyBorder="1" applyAlignment="1">
      <alignment horizontal="right" vertical="center"/>
    </xf>
    <xf numFmtId="43" fontId="12" fillId="3" borderId="6" xfId="1" applyFont="1" applyFill="1" applyBorder="1" applyAlignment="1">
      <alignment horizontal="right" vertical="center"/>
    </xf>
    <xf numFmtId="164" fontId="5" fillId="3" borderId="6" xfId="0" applyNumberFormat="1" applyFont="1" applyFill="1" applyBorder="1" applyAlignment="1">
      <alignment horizontal="right" vertical="center"/>
    </xf>
    <xf numFmtId="43" fontId="5" fillId="3" borderId="0" xfId="0" applyNumberFormat="1" applyFont="1" applyFill="1" applyAlignment="1">
      <alignment vertical="center"/>
    </xf>
    <xf numFmtId="43" fontId="1" fillId="3" borderId="6" xfId="0" applyNumberFormat="1" applyFont="1" applyFill="1" applyBorder="1" applyAlignment="1">
      <alignment vertical="center"/>
    </xf>
    <xf numFmtId="164" fontId="1" fillId="17" borderId="43" xfId="0" applyNumberFormat="1" applyFont="1" applyFill="1" applyBorder="1" applyAlignment="1">
      <alignment vertical="center"/>
    </xf>
    <xf numFmtId="0" fontId="1" fillId="17" borderId="0" xfId="0" applyFont="1" applyFill="1" applyAlignment="1">
      <alignment horizontal="right" vertical="center"/>
    </xf>
    <xf numFmtId="0" fontId="1" fillId="17" borderId="6" xfId="0" applyFont="1" applyFill="1" applyBorder="1" applyAlignment="1">
      <alignment vertical="center"/>
    </xf>
    <xf numFmtId="43" fontId="66" fillId="17" borderId="6" xfId="1" applyFont="1" applyFill="1" applyBorder="1" applyAlignment="1">
      <alignment vertical="center"/>
    </xf>
    <xf numFmtId="164" fontId="5" fillId="17" borderId="21" xfId="0" applyNumberFormat="1" applyFont="1" applyFill="1" applyBorder="1" applyAlignment="1">
      <alignment vertical="center"/>
    </xf>
    <xf numFmtId="0" fontId="1" fillId="17" borderId="20" xfId="0" applyFont="1" applyFill="1" applyBorder="1" applyAlignment="1">
      <alignment vertical="center"/>
    </xf>
    <xf numFmtId="43" fontId="1" fillId="17" borderId="6" xfId="0" applyNumberFormat="1" applyFont="1" applyFill="1" applyBorder="1" applyAlignment="1">
      <alignment vertical="center"/>
    </xf>
    <xf numFmtId="43" fontId="1" fillId="17" borderId="6" xfId="1" applyFont="1" applyFill="1" applyBorder="1" applyAlignment="1">
      <alignment vertical="center"/>
    </xf>
    <xf numFmtId="0" fontId="1" fillId="17" borderId="48" xfId="0" applyFont="1" applyFill="1" applyBorder="1" applyAlignment="1">
      <alignment horizontal="right" vertical="center"/>
    </xf>
    <xf numFmtId="43" fontId="5" fillId="17" borderId="0" xfId="0" applyNumberFormat="1" applyFont="1" applyFill="1" applyAlignment="1">
      <alignment vertical="center"/>
    </xf>
    <xf numFmtId="43" fontId="1" fillId="17" borderId="0" xfId="0" applyNumberFormat="1" applyFont="1" applyFill="1" applyAlignment="1">
      <alignment vertical="center"/>
    </xf>
    <xf numFmtId="0" fontId="1" fillId="17" borderId="12" xfId="0" applyFont="1" applyFill="1" applyBorder="1" applyAlignment="1">
      <alignment horizontal="right" vertical="center"/>
    </xf>
    <xf numFmtId="164" fontId="5" fillId="17" borderId="6" xfId="0" applyNumberFormat="1" applyFont="1" applyFill="1" applyBorder="1" applyAlignment="1">
      <alignment horizontal="right" vertical="center"/>
    </xf>
    <xf numFmtId="0" fontId="1" fillId="17" borderId="20" xfId="0" applyFont="1" applyFill="1" applyBorder="1" applyAlignment="1">
      <alignment horizontal="right" vertical="center"/>
    </xf>
    <xf numFmtId="43" fontId="12" fillId="17" borderId="6" xfId="1" applyFont="1" applyFill="1" applyBorder="1" applyAlignment="1">
      <alignment horizontal="right" vertical="center"/>
    </xf>
    <xf numFmtId="164" fontId="1" fillId="17" borderId="20" xfId="0" applyNumberFormat="1" applyFont="1" applyFill="1" applyBorder="1" applyAlignment="1">
      <alignment horizontal="right" vertical="center"/>
    </xf>
    <xf numFmtId="49" fontId="5" fillId="17" borderId="43" xfId="0" applyNumberFormat="1" applyFont="1" applyFill="1" applyBorder="1" applyAlignment="1">
      <alignment horizontal="left" vertical="center"/>
    </xf>
    <xf numFmtId="0" fontId="1" fillId="17" borderId="43" xfId="0" applyFont="1" applyFill="1" applyBorder="1" applyAlignment="1">
      <alignment horizontal="right" vertical="center"/>
    </xf>
    <xf numFmtId="43" fontId="66" fillId="17" borderId="43" xfId="1" applyFont="1" applyFill="1" applyBorder="1" applyAlignment="1">
      <alignment horizontal="right" vertical="center"/>
    </xf>
    <xf numFmtId="164" fontId="12" fillId="17" borderId="43" xfId="0" applyNumberFormat="1" applyFont="1" applyFill="1" applyBorder="1" applyAlignment="1">
      <alignment horizontal="right" vertical="center"/>
    </xf>
    <xf numFmtId="0" fontId="5" fillId="17" borderId="34" xfId="0" applyFont="1" applyFill="1" applyBorder="1" applyAlignment="1">
      <alignment vertical="center"/>
    </xf>
    <xf numFmtId="44" fontId="42" fillId="17" borderId="38" xfId="2" applyFont="1" applyFill="1" applyBorder="1" applyAlignment="1">
      <alignment vertical="center"/>
    </xf>
    <xf numFmtId="44" fontId="10" fillId="17" borderId="38" xfId="0" applyNumberFormat="1" applyFont="1" applyFill="1" applyBorder="1" applyAlignment="1">
      <alignment vertical="center"/>
    </xf>
    <xf numFmtId="0" fontId="14" fillId="17" borderId="0" xfId="0" applyFont="1" applyFill="1" applyAlignment="1">
      <alignment vertical="center"/>
    </xf>
    <xf numFmtId="44" fontId="10" fillId="17" borderId="17" xfId="2" applyFont="1" applyFill="1" applyBorder="1" applyAlignment="1">
      <alignment vertical="center"/>
    </xf>
    <xf numFmtId="44" fontId="10" fillId="17" borderId="16" xfId="2" applyFont="1" applyFill="1" applyBorder="1" applyAlignment="1">
      <alignment vertical="center"/>
    </xf>
    <xf numFmtId="44" fontId="68" fillId="17" borderId="42" xfId="2" applyFont="1" applyFill="1" applyBorder="1" applyAlignment="1">
      <alignment vertical="center"/>
    </xf>
    <xf numFmtId="0" fontId="38" fillId="17" borderId="0" xfId="0" applyFont="1" applyFill="1" applyAlignment="1">
      <alignment vertical="center"/>
    </xf>
    <xf numFmtId="0" fontId="1" fillId="17" borderId="0" xfId="0" applyFont="1" applyFill="1" applyAlignment="1">
      <alignment vertical="center"/>
    </xf>
    <xf numFmtId="0" fontId="58" fillId="17" borderId="5" xfId="0" applyFont="1" applyFill="1" applyBorder="1" applyAlignment="1">
      <alignment horizontal="center"/>
    </xf>
    <xf numFmtId="0" fontId="0" fillId="17" borderId="5" xfId="0" applyFill="1" applyBorder="1" applyAlignment="1">
      <alignment horizontal="center"/>
    </xf>
    <xf numFmtId="43" fontId="76" fillId="17" borderId="5" xfId="1" applyFont="1" applyFill="1" applyBorder="1" applyAlignment="1">
      <alignment horizontal="center"/>
    </xf>
    <xf numFmtId="43" fontId="0" fillId="17" borderId="5" xfId="1" applyFont="1" applyFill="1" applyBorder="1" applyAlignment="1">
      <alignment horizontal="center"/>
    </xf>
    <xf numFmtId="44" fontId="0" fillId="17" borderId="5" xfId="1" applyNumberFormat="1" applyFont="1" applyFill="1" applyBorder="1"/>
    <xf numFmtId="0" fontId="58" fillId="17" borderId="36" xfId="0" applyFont="1" applyFill="1" applyBorder="1" applyAlignment="1">
      <alignment horizontal="center"/>
    </xf>
    <xf numFmtId="0" fontId="0" fillId="17" borderId="36" xfId="0" applyFill="1" applyBorder="1" applyAlignment="1">
      <alignment horizontal="center"/>
    </xf>
    <xf numFmtId="43" fontId="76" fillId="17" borderId="36" xfId="1" applyFont="1" applyFill="1" applyBorder="1" applyAlignment="1">
      <alignment horizontal="center"/>
    </xf>
    <xf numFmtId="43" fontId="0" fillId="17" borderId="36" xfId="1" applyFont="1" applyFill="1" applyBorder="1" applyAlignment="1">
      <alignment horizontal="center"/>
    </xf>
    <xf numFmtId="44" fontId="0" fillId="17" borderId="36" xfId="1" applyNumberFormat="1" applyFont="1" applyFill="1" applyBorder="1"/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98" fillId="21" borderId="46" xfId="0" applyFont="1" applyFill="1" applyBorder="1" applyAlignment="1">
      <alignment horizontal="center" vertical="center" wrapText="1"/>
    </xf>
    <xf numFmtId="0" fontId="98" fillId="21" borderId="4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49" fontId="43" fillId="0" borderId="13" xfId="0" applyNumberFormat="1" applyFont="1" applyBorder="1" applyAlignment="1">
      <alignment horizontal="center" vertical="center"/>
    </xf>
    <xf numFmtId="49" fontId="43" fillId="0" borderId="2" xfId="0" applyNumberFormat="1" applyFont="1" applyBorder="1" applyAlignment="1">
      <alignment horizontal="center" vertical="center"/>
    </xf>
    <xf numFmtId="49" fontId="43" fillId="0" borderId="12" xfId="0" applyNumberFormat="1" applyFont="1" applyBorder="1" applyAlignment="1">
      <alignment horizontal="center" vertical="center"/>
    </xf>
    <xf numFmtId="49" fontId="44" fillId="0" borderId="11" xfId="0" applyNumberFormat="1" applyFont="1" applyBorder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49" fontId="44" fillId="0" borderId="20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43" fillId="0" borderId="5" xfId="0" applyNumberFormat="1" applyFont="1" applyBorder="1" applyAlignment="1">
      <alignment horizontal="center" vertical="center"/>
    </xf>
    <xf numFmtId="49" fontId="44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3" fillId="0" borderId="11" xfId="0" applyNumberFormat="1" applyFont="1" applyBorder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49" fontId="43" fillId="0" borderId="20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49" fontId="5" fillId="17" borderId="21" xfId="0" applyNumberFormat="1" applyFont="1" applyFill="1" applyBorder="1" applyAlignment="1">
      <alignment horizontal="center" vertical="center"/>
    </xf>
    <xf numFmtId="49" fontId="5" fillId="17" borderId="6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88" fillId="21" borderId="14" xfId="0" applyFont="1" applyFill="1" applyBorder="1" applyAlignment="1">
      <alignment horizontal="center" vertical="center"/>
    </xf>
    <xf numFmtId="0" fontId="88" fillId="21" borderId="4" xfId="0" applyFont="1" applyFill="1" applyBorder="1" applyAlignment="1">
      <alignment horizontal="center" vertical="center"/>
    </xf>
    <xf numFmtId="0" fontId="88" fillId="21" borderId="19" xfId="0" applyFont="1" applyFill="1" applyBorder="1" applyAlignment="1">
      <alignment horizontal="center" vertical="center"/>
    </xf>
    <xf numFmtId="0" fontId="88" fillId="21" borderId="19" xfId="0" applyFont="1" applyFill="1" applyBorder="1" applyAlignment="1">
      <alignment vertical="center"/>
    </xf>
    <xf numFmtId="0" fontId="90" fillId="21" borderId="3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88" fillId="21" borderId="7" xfId="0" applyFont="1" applyFill="1" applyBorder="1" applyAlignment="1">
      <alignment horizontal="center" vertical="center"/>
    </xf>
    <xf numFmtId="0" fontId="88" fillId="21" borderId="15" xfId="0" applyFont="1" applyFill="1" applyBorder="1" applyAlignment="1">
      <alignment horizontal="center" vertical="center"/>
    </xf>
    <xf numFmtId="0" fontId="88" fillId="21" borderId="8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4" fontId="10" fillId="0" borderId="4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2" fillId="0" borderId="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0" fontId="22" fillId="17" borderId="37" xfId="0" applyFont="1" applyFill="1" applyBorder="1" applyAlignment="1">
      <alignment horizontal="center" vertical="center"/>
    </xf>
    <xf numFmtId="0" fontId="22" fillId="17" borderId="34" xfId="0" applyFont="1" applyFill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90" fillId="21" borderId="15" xfId="0" applyFont="1" applyFill="1" applyBorder="1" applyAlignment="1">
      <alignment horizontal="center" vertical="center"/>
    </xf>
    <xf numFmtId="0" fontId="90" fillId="21" borderId="8" xfId="0" applyFont="1" applyFill="1" applyBorder="1" applyAlignment="1">
      <alignment horizontal="center" vertical="center"/>
    </xf>
    <xf numFmtId="0" fontId="90" fillId="21" borderId="9" xfId="0" applyFont="1" applyFill="1" applyBorder="1" applyAlignment="1">
      <alignment horizontal="center" vertical="center"/>
    </xf>
    <xf numFmtId="0" fontId="90" fillId="21" borderId="10" xfId="0" applyFont="1" applyFill="1" applyBorder="1" applyAlignment="1">
      <alignment horizontal="center" vertical="center"/>
    </xf>
    <xf numFmtId="0" fontId="94" fillId="21" borderId="5" xfId="0" applyFont="1" applyFill="1" applyBorder="1" applyAlignment="1">
      <alignment horizontal="center" vertical="center"/>
    </xf>
    <xf numFmtId="0" fontId="94" fillId="21" borderId="3" xfId="0" applyFont="1" applyFill="1" applyBorder="1" applyAlignment="1">
      <alignment horizontal="center" vertical="center"/>
    </xf>
    <xf numFmtId="44" fontId="93" fillId="21" borderId="14" xfId="2" applyFont="1" applyFill="1" applyBorder="1" applyAlignment="1">
      <alignment horizontal="center" vertical="center"/>
    </xf>
    <xf numFmtId="44" fontId="93" fillId="21" borderId="19" xfId="2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44" fontId="93" fillId="21" borderId="2" xfId="2" applyFont="1" applyFill="1" applyBorder="1" applyAlignment="1">
      <alignment horizontal="center" vertical="center"/>
    </xf>
    <xf numFmtId="44" fontId="93" fillId="21" borderId="0" xfId="2" applyFont="1" applyFill="1" applyBorder="1" applyAlignment="1">
      <alignment horizontal="center" vertical="center"/>
    </xf>
    <xf numFmtId="44" fontId="93" fillId="21" borderId="4" xfId="2" applyFont="1" applyFill="1" applyBorder="1" applyAlignment="1">
      <alignment horizontal="center" vertical="center"/>
    </xf>
    <xf numFmtId="0" fontId="10" fillId="17" borderId="25" xfId="0" applyFont="1" applyFill="1" applyBorder="1" applyAlignment="1">
      <alignment horizontal="right" vertical="center"/>
    </xf>
    <xf numFmtId="0" fontId="10" fillId="17" borderId="26" xfId="0" applyFont="1" applyFill="1" applyBorder="1" applyAlignment="1">
      <alignment horizontal="right" vertical="center"/>
    </xf>
    <xf numFmtId="0" fontId="10" fillId="17" borderId="24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58" fillId="0" borderId="0" xfId="0" applyFont="1" applyAlignment="1">
      <alignment horizontal="center"/>
    </xf>
    <xf numFmtId="49" fontId="5" fillId="0" borderId="4" xfId="0" applyNumberFormat="1" applyFont="1" applyBorder="1" applyAlignment="1">
      <alignment horizontal="left" vertical="center"/>
    </xf>
    <xf numFmtId="0" fontId="5" fillId="17" borderId="5" xfId="0" applyFont="1" applyFill="1" applyBorder="1" applyAlignment="1">
      <alignment horizontal="right" vertical="center"/>
    </xf>
    <xf numFmtId="0" fontId="42" fillId="17" borderId="5" xfId="0" applyFont="1" applyFill="1" applyBorder="1" applyAlignment="1">
      <alignment horizontal="right" vertical="center"/>
    </xf>
    <xf numFmtId="0" fontId="38" fillId="0" borderId="9" xfId="0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84" fillId="21" borderId="46" xfId="0" applyFont="1" applyFill="1" applyBorder="1" applyAlignment="1">
      <alignment horizontal="center" vertical="center" wrapText="1"/>
    </xf>
    <xf numFmtId="0" fontId="84" fillId="21" borderId="47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62" fillId="2" borderId="4" xfId="0" applyFont="1" applyFill="1" applyBorder="1" applyAlignment="1">
      <alignment horizontal="center"/>
    </xf>
    <xf numFmtId="0" fontId="49" fillId="0" borderId="7" xfId="0" applyFont="1" applyBorder="1" applyAlignment="1">
      <alignment horizontal="center" vertical="center" wrapText="1"/>
    </xf>
    <xf numFmtId="0" fontId="49" fillId="0" borderId="8" xfId="0" applyFont="1" applyBorder="1" applyAlignment="1">
      <alignment horizontal="center" vertical="center" wrapText="1"/>
    </xf>
    <xf numFmtId="0" fontId="48" fillId="0" borderId="5" xfId="0" applyFont="1" applyBorder="1" applyAlignment="1">
      <alignment horizontal="center"/>
    </xf>
    <xf numFmtId="0" fontId="52" fillId="0" borderId="9" xfId="0" applyFont="1" applyBorder="1" applyAlignment="1">
      <alignment horizontal="center"/>
    </xf>
    <xf numFmtId="0" fontId="52" fillId="0" borderId="3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3" fillId="0" borderId="4" xfId="0" applyFont="1" applyBorder="1" applyAlignment="1">
      <alignment horizontal="center"/>
    </xf>
    <xf numFmtId="0" fontId="30" fillId="0" borderId="9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2" fillId="0" borderId="9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F56587"/>
      <color rgb="FFF89E9C"/>
      <color rgb="FFFF6699"/>
      <color rgb="FFDBF9BD"/>
      <color rgb="FFFFEBF2"/>
      <color rgb="FFFFDDE8"/>
      <color rgb="FFFFC5D8"/>
      <color rgb="FFFFFAEB"/>
      <color rgb="FFFDFEF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704850</xdr:colOff>
      <xdr:row>37</xdr:row>
      <xdr:rowOff>200025</xdr:rowOff>
    </xdr:from>
    <xdr:to>
      <xdr:col>13</xdr:col>
      <xdr:colOff>104775</xdr:colOff>
      <xdr:row>39</xdr:row>
      <xdr:rowOff>114300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3305175" y="11668125"/>
          <a:ext cx="2486025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C.ILIANA CRISTINA ESPARZA RIOS</a:t>
          </a: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VISTO BUENO</a:t>
          </a:r>
        </a:p>
      </xdr:txBody>
    </xdr:sp>
    <xdr:clientData/>
  </xdr:twoCellAnchor>
  <xdr:twoCellAnchor>
    <xdr:from>
      <xdr:col>5</xdr:col>
      <xdr:colOff>638175</xdr:colOff>
      <xdr:row>36</xdr:row>
      <xdr:rowOff>781050</xdr:rowOff>
    </xdr:from>
    <xdr:to>
      <xdr:col>13</xdr:col>
      <xdr:colOff>381000</xdr:colOff>
      <xdr:row>36</xdr:row>
      <xdr:rowOff>781050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>
          <a:off x="3238500" y="11458575"/>
          <a:ext cx="2828925" cy="0"/>
        </a:xfrm>
        <a:prstGeom prst="line">
          <a:avLst/>
        </a:prstGeom>
        <a:ln w="127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251209</xdr:colOff>
      <xdr:row>71</xdr:row>
      <xdr:rowOff>31402</xdr:rowOff>
    </xdr:from>
    <xdr:to>
      <xdr:col>4</xdr:col>
      <xdr:colOff>136072</xdr:colOff>
      <xdr:row>73</xdr:row>
      <xdr:rowOff>94203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617555" y="25236017"/>
          <a:ext cx="2826099" cy="4396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C.</a:t>
          </a:r>
          <a:r>
            <a:rPr lang="es-MX" sz="1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Elpidio Macias Galindo </a:t>
          </a:r>
        </a:p>
        <a:p>
          <a:pPr algn="ctr"/>
          <a:r>
            <a:rPr lang="es-MX" sz="1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VISTO BUENO</a:t>
          </a:r>
        </a:p>
        <a:p>
          <a:endParaRPr lang="es-MX" sz="11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1350248</xdr:colOff>
      <xdr:row>71</xdr:row>
      <xdr:rowOff>31401</xdr:rowOff>
    </xdr:from>
    <xdr:to>
      <xdr:col>8</xdr:col>
      <xdr:colOff>345412</xdr:colOff>
      <xdr:row>73</xdr:row>
      <xdr:rowOff>125604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4657830" y="25236016"/>
          <a:ext cx="3715796" cy="4710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C.</a:t>
          </a:r>
          <a:r>
            <a:rPr lang="es-MX" sz="1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Ilina Cristina Esparza Rios </a:t>
          </a:r>
        </a:p>
        <a:p>
          <a:pPr algn="ctr"/>
          <a:r>
            <a:rPr lang="es-MX" sz="1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VISTO BUENO</a:t>
          </a:r>
          <a:endParaRPr lang="es-MX" sz="11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868764</xdr:colOff>
      <xdr:row>71</xdr:row>
      <xdr:rowOff>20934</xdr:rowOff>
    </xdr:from>
    <xdr:to>
      <xdr:col>11</xdr:col>
      <xdr:colOff>1884066</xdr:colOff>
      <xdr:row>73</xdr:row>
      <xdr:rowOff>104670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9985550" y="25225549"/>
          <a:ext cx="3234313" cy="460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>
              <a:latin typeface="Arial" panose="020B0604020202020204" pitchFamily="34" charset="0"/>
              <a:cs typeface="Arial" panose="020B0604020202020204" pitchFamily="34" charset="0"/>
            </a:rPr>
            <a:t>Lic.</a:t>
          </a:r>
          <a:r>
            <a:rPr lang="es-MX" sz="1100" b="1" baseline="0">
              <a:latin typeface="Arial" panose="020B0604020202020204" pitchFamily="34" charset="0"/>
              <a:cs typeface="Arial" panose="020B0604020202020204" pitchFamily="34" charset="0"/>
            </a:rPr>
            <a:t> Eric Leal Montes</a:t>
          </a:r>
        </a:p>
        <a:p>
          <a:pPr algn="ctr"/>
          <a:r>
            <a:rPr lang="es-MX" sz="1100" b="1" baseline="0">
              <a:latin typeface="Arial" panose="020B0604020202020204" pitchFamily="34" charset="0"/>
              <a:cs typeface="Arial" panose="020B0604020202020204" pitchFamily="34" charset="0"/>
            </a:rPr>
            <a:t>AUTORIZO</a:t>
          </a:r>
          <a:endParaRPr lang="es-MX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1360715</xdr:colOff>
      <xdr:row>70</xdr:row>
      <xdr:rowOff>177939</xdr:rowOff>
    </xdr:from>
    <xdr:to>
      <xdr:col>8</xdr:col>
      <xdr:colOff>303544</xdr:colOff>
      <xdr:row>70</xdr:row>
      <xdr:rowOff>177939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CxnSpPr/>
      </xdr:nvCxnSpPr>
      <xdr:spPr>
        <a:xfrm>
          <a:off x="4668297" y="25194148"/>
          <a:ext cx="366346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544285</xdr:colOff>
      <xdr:row>70</xdr:row>
      <xdr:rowOff>177939</xdr:rowOff>
    </xdr:from>
    <xdr:to>
      <xdr:col>11</xdr:col>
      <xdr:colOff>1988735</xdr:colOff>
      <xdr:row>70</xdr:row>
      <xdr:rowOff>177939</xdr:rowOff>
    </xdr:to>
    <xdr:cxnSp macro="">
      <xdr:nvCxnSpPr>
        <xdr:cNvPr id="13" name="Conector recto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CxnSpPr/>
      </xdr:nvCxnSpPr>
      <xdr:spPr>
        <a:xfrm>
          <a:off x="9661071" y="25194148"/>
          <a:ext cx="366346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633413</xdr:colOff>
      <xdr:row>18</xdr:row>
      <xdr:rowOff>9524</xdr:rowOff>
    </xdr:from>
    <xdr:to>
      <xdr:col>6</xdr:col>
      <xdr:colOff>295277</xdr:colOff>
      <xdr:row>18</xdr:row>
      <xdr:rowOff>133347</xdr:rowOff>
    </xdr:to>
    <xdr:sp macro="" textlink="">
      <xdr:nvSpPr>
        <xdr:cNvPr id="4" name="Abrir llav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 rot="16200000">
          <a:off x="4988721" y="1616866"/>
          <a:ext cx="123823" cy="1519239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39"/>
  <sheetViews>
    <sheetView topLeftCell="A4" workbookViewId="0">
      <selection activeCell="M18" sqref="M18"/>
    </sheetView>
  </sheetViews>
  <sheetFormatPr baseColWidth="10" defaultColWidth="13.42578125" defaultRowHeight="15"/>
  <cols>
    <col min="1" max="1" width="13.42578125" style="152"/>
    <col min="2" max="2" width="7" style="152" customWidth="1"/>
    <col min="3" max="3" width="36.85546875" style="152" customWidth="1"/>
    <col min="4" max="8" width="13.42578125" style="152"/>
    <col min="9" max="9" width="12.42578125" style="152" customWidth="1"/>
    <col min="10" max="10" width="9.28515625" style="152" bestFit="1" customWidth="1"/>
    <col min="11" max="11" width="13.42578125" style="152"/>
    <col min="12" max="12" width="12.42578125" style="152" customWidth="1"/>
    <col min="13" max="13" width="44" style="152" customWidth="1"/>
    <col min="14" max="16384" width="13.42578125" style="152"/>
  </cols>
  <sheetData>
    <row r="1" spans="2:20">
      <c r="B1" s="35"/>
      <c r="C1" s="613"/>
      <c r="D1" s="614"/>
      <c r="E1" s="614"/>
      <c r="F1" s="614"/>
      <c r="G1" s="614"/>
      <c r="H1" s="614"/>
      <c r="I1" s="280"/>
      <c r="J1" s="23"/>
      <c r="K1" s="23"/>
      <c r="L1" s="23"/>
      <c r="M1" s="23"/>
    </row>
    <row r="2" spans="2:20" ht="19.5">
      <c r="B2" s="615" t="s">
        <v>215</v>
      </c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7"/>
    </row>
    <row r="3" spans="2:20">
      <c r="B3" s="618" t="s">
        <v>785</v>
      </c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20"/>
    </row>
    <row r="4" spans="2:20">
      <c r="B4" s="24"/>
      <c r="C4" s="25" t="s">
        <v>0</v>
      </c>
      <c r="D4" s="15"/>
      <c r="E4" s="15"/>
      <c r="F4" s="15"/>
      <c r="G4" s="15"/>
      <c r="H4" s="15"/>
      <c r="I4" s="15"/>
      <c r="J4" s="15"/>
      <c r="K4" s="15"/>
      <c r="L4" s="15"/>
      <c r="M4" s="26"/>
    </row>
    <row r="5" spans="2:20"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27"/>
    </row>
    <row r="6" spans="2:20" ht="33.75">
      <c r="B6" s="543" t="s">
        <v>1</v>
      </c>
      <c r="C6" s="611" t="s">
        <v>2</v>
      </c>
      <c r="D6" s="612"/>
      <c r="E6" s="542" t="s">
        <v>230</v>
      </c>
      <c r="F6" s="542" t="s">
        <v>4</v>
      </c>
      <c r="G6" s="542" t="s">
        <v>5</v>
      </c>
      <c r="H6" s="542" t="s">
        <v>48</v>
      </c>
      <c r="I6" s="542" t="s">
        <v>605</v>
      </c>
      <c r="J6" s="542" t="s">
        <v>47</v>
      </c>
      <c r="K6" s="542" t="s">
        <v>6</v>
      </c>
      <c r="L6" s="542" t="s">
        <v>7</v>
      </c>
      <c r="M6" s="475" t="s">
        <v>29</v>
      </c>
    </row>
    <row r="7" spans="2:20">
      <c r="B7" s="43" t="s">
        <v>8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3"/>
      <c r="P7" s="154"/>
    </row>
    <row r="8" spans="2:20" ht="39.950000000000003" customHeight="1">
      <c r="B8" s="155" t="s">
        <v>272</v>
      </c>
      <c r="C8" s="609" t="s">
        <v>31</v>
      </c>
      <c r="D8" s="610"/>
      <c r="E8" s="9" t="s">
        <v>231</v>
      </c>
      <c r="F8" s="9">
        <v>0</v>
      </c>
      <c r="G8" s="9">
        <v>12370</v>
      </c>
      <c r="H8" s="9">
        <v>0</v>
      </c>
      <c r="I8" s="9"/>
      <c r="J8" s="9">
        <v>1922</v>
      </c>
      <c r="K8" s="9">
        <f>J8</f>
        <v>1922</v>
      </c>
      <c r="L8" s="156">
        <f>G8+H8-J8-I8</f>
        <v>10448</v>
      </c>
      <c r="M8" s="153"/>
      <c r="P8" s="154"/>
    </row>
    <row r="9" spans="2:20" ht="39.950000000000003" customHeight="1">
      <c r="B9" s="155" t="s">
        <v>273</v>
      </c>
      <c r="C9" s="609" t="s">
        <v>466</v>
      </c>
      <c r="D9" s="610"/>
      <c r="E9" s="9" t="s">
        <v>231</v>
      </c>
      <c r="F9" s="9">
        <v>0</v>
      </c>
      <c r="G9" s="9">
        <v>12370</v>
      </c>
      <c r="H9" s="9">
        <v>0</v>
      </c>
      <c r="I9" s="9"/>
      <c r="J9" s="9">
        <v>1922</v>
      </c>
      <c r="K9" s="9">
        <f t="shared" ref="K9:K17" si="0">J9</f>
        <v>1922</v>
      </c>
      <c r="L9" s="156">
        <f t="shared" ref="L9:L17" si="1">G9+H9-J9-I9</f>
        <v>10448</v>
      </c>
      <c r="M9" s="121"/>
      <c r="P9" s="154"/>
    </row>
    <row r="10" spans="2:20" ht="39.950000000000003" customHeight="1">
      <c r="B10" s="155" t="s">
        <v>274</v>
      </c>
      <c r="C10" s="609" t="s">
        <v>578</v>
      </c>
      <c r="D10" s="610"/>
      <c r="E10" s="9" t="s">
        <v>231</v>
      </c>
      <c r="F10" s="9">
        <v>0</v>
      </c>
      <c r="G10" s="9">
        <v>12370</v>
      </c>
      <c r="H10" s="9">
        <v>0</v>
      </c>
      <c r="I10" s="9"/>
      <c r="J10" s="9">
        <v>1922</v>
      </c>
      <c r="K10" s="9">
        <f t="shared" si="0"/>
        <v>1922</v>
      </c>
      <c r="L10" s="156">
        <f t="shared" si="1"/>
        <v>10448</v>
      </c>
      <c r="M10" s="121"/>
      <c r="P10" s="154"/>
    </row>
    <row r="11" spans="2:20" ht="39.950000000000003" customHeight="1">
      <c r="B11" s="155" t="s">
        <v>275</v>
      </c>
      <c r="C11" s="609" t="s">
        <v>43</v>
      </c>
      <c r="D11" s="610"/>
      <c r="E11" s="9" t="s">
        <v>231</v>
      </c>
      <c r="F11" s="9">
        <v>0</v>
      </c>
      <c r="G11" s="9">
        <v>12370</v>
      </c>
      <c r="H11" s="9">
        <v>0</v>
      </c>
      <c r="I11" s="9"/>
      <c r="J11" s="9">
        <v>1922</v>
      </c>
      <c r="K11" s="9">
        <f t="shared" si="0"/>
        <v>1922</v>
      </c>
      <c r="L11" s="156">
        <f t="shared" si="1"/>
        <v>10448</v>
      </c>
      <c r="M11" s="121"/>
      <c r="P11" s="154"/>
    </row>
    <row r="12" spans="2:20" ht="39.950000000000003" customHeight="1">
      <c r="B12" s="155" t="s">
        <v>276</v>
      </c>
      <c r="C12" s="609" t="s">
        <v>44</v>
      </c>
      <c r="D12" s="610"/>
      <c r="E12" s="9" t="s">
        <v>231</v>
      </c>
      <c r="F12" s="9">
        <v>0</v>
      </c>
      <c r="G12" s="9">
        <v>12370</v>
      </c>
      <c r="H12" s="9">
        <v>0</v>
      </c>
      <c r="I12" s="9"/>
      <c r="J12" s="9">
        <v>1922</v>
      </c>
      <c r="K12" s="9">
        <f t="shared" si="0"/>
        <v>1922</v>
      </c>
      <c r="L12" s="156">
        <f t="shared" si="1"/>
        <v>10448</v>
      </c>
      <c r="M12" s="121"/>
      <c r="P12" s="154"/>
    </row>
    <row r="13" spans="2:20" ht="39.950000000000003" customHeight="1">
      <c r="B13" s="155" t="s">
        <v>277</v>
      </c>
      <c r="C13" s="609" t="s">
        <v>770</v>
      </c>
      <c r="D13" s="610"/>
      <c r="E13" s="9" t="s">
        <v>231</v>
      </c>
      <c r="F13" s="9">
        <v>0</v>
      </c>
      <c r="G13" s="9">
        <v>12370</v>
      </c>
      <c r="H13" s="9">
        <v>0</v>
      </c>
      <c r="I13" s="9"/>
      <c r="J13" s="9">
        <v>1922</v>
      </c>
      <c r="K13" s="9">
        <f t="shared" si="0"/>
        <v>1922</v>
      </c>
      <c r="L13" s="156">
        <f t="shared" si="1"/>
        <v>10448</v>
      </c>
      <c r="M13" s="121"/>
      <c r="N13" s="292"/>
      <c r="P13" s="154"/>
    </row>
    <row r="14" spans="2:20" ht="39.950000000000003" customHeight="1">
      <c r="B14" s="155" t="s">
        <v>278</v>
      </c>
      <c r="C14" s="609" t="s">
        <v>35</v>
      </c>
      <c r="D14" s="610"/>
      <c r="E14" s="9" t="s">
        <v>231</v>
      </c>
      <c r="F14" s="9">
        <v>0</v>
      </c>
      <c r="G14" s="9">
        <v>12370</v>
      </c>
      <c r="H14" s="9">
        <v>0</v>
      </c>
      <c r="I14" s="9"/>
      <c r="J14" s="9">
        <v>1922</v>
      </c>
      <c r="K14" s="9">
        <f t="shared" si="0"/>
        <v>1922</v>
      </c>
      <c r="L14" s="156">
        <f t="shared" si="1"/>
        <v>10448</v>
      </c>
      <c r="M14" s="121"/>
      <c r="P14" s="154"/>
    </row>
    <row r="15" spans="2:20" ht="39.950000000000003" customHeight="1">
      <c r="B15" s="155" t="s">
        <v>279</v>
      </c>
      <c r="C15" s="609" t="s">
        <v>33</v>
      </c>
      <c r="D15" s="610"/>
      <c r="E15" s="9" t="s">
        <v>231</v>
      </c>
      <c r="F15" s="9">
        <v>0</v>
      </c>
      <c r="G15" s="9">
        <v>12370</v>
      </c>
      <c r="H15" s="9">
        <v>0</v>
      </c>
      <c r="I15" s="9"/>
      <c r="J15" s="9">
        <v>1922</v>
      </c>
      <c r="K15" s="9">
        <f t="shared" si="0"/>
        <v>1922</v>
      </c>
      <c r="L15" s="156">
        <f t="shared" si="1"/>
        <v>10448</v>
      </c>
      <c r="M15" s="3"/>
      <c r="P15" s="154"/>
      <c r="S15" s="157">
        <v>81249.2</v>
      </c>
      <c r="T15" s="152" t="s">
        <v>227</v>
      </c>
    </row>
    <row r="16" spans="2:20" ht="39.950000000000003" customHeight="1">
      <c r="B16" s="155" t="s">
        <v>280</v>
      </c>
      <c r="C16" s="609" t="s">
        <v>34</v>
      </c>
      <c r="D16" s="610"/>
      <c r="E16" s="9" t="s">
        <v>231</v>
      </c>
      <c r="F16" s="9">
        <v>0</v>
      </c>
      <c r="G16" s="9">
        <v>12370</v>
      </c>
      <c r="H16" s="9">
        <v>0</v>
      </c>
      <c r="I16" s="9"/>
      <c r="J16" s="9">
        <v>1922</v>
      </c>
      <c r="K16" s="9">
        <f>I16+J16</f>
        <v>1922</v>
      </c>
      <c r="L16" s="156">
        <f>G16-K16</f>
        <v>10448</v>
      </c>
      <c r="M16" s="3"/>
      <c r="P16" s="154"/>
      <c r="S16" s="157">
        <v>262038.17</v>
      </c>
      <c r="T16" s="152" t="s">
        <v>216</v>
      </c>
    </row>
    <row r="17" spans="2:20" ht="39.950000000000003" customHeight="1">
      <c r="B17" s="155" t="s">
        <v>281</v>
      </c>
      <c r="C17" s="609" t="s">
        <v>603</v>
      </c>
      <c r="D17" s="610"/>
      <c r="E17" s="9" t="s">
        <v>232</v>
      </c>
      <c r="F17" s="9">
        <v>0</v>
      </c>
      <c r="G17" s="9">
        <v>12370</v>
      </c>
      <c r="H17" s="9">
        <v>0</v>
      </c>
      <c r="I17" s="9"/>
      <c r="J17" s="9">
        <v>1922</v>
      </c>
      <c r="K17" s="9">
        <f t="shared" si="0"/>
        <v>1922</v>
      </c>
      <c r="L17" s="156">
        <f t="shared" si="1"/>
        <v>10448</v>
      </c>
      <c r="M17" s="3"/>
      <c r="P17" s="154"/>
      <c r="S17" s="158"/>
      <c r="T17" s="159"/>
    </row>
    <row r="18" spans="2:20" ht="15.75" thickBot="1">
      <c r="B18" s="160"/>
      <c r="C18" s="532" t="s">
        <v>50</v>
      </c>
      <c r="D18" s="533">
        <f>SUM(D8:D17)</f>
        <v>0</v>
      </c>
      <c r="E18" s="533"/>
      <c r="F18" s="533">
        <f t="shared" ref="F18:H18" si="2">SUM(F8:F17)</f>
        <v>0</v>
      </c>
      <c r="G18" s="533">
        <f>SUM(G8:G17)</f>
        <v>123700</v>
      </c>
      <c r="H18" s="533">
        <f t="shared" si="2"/>
        <v>0</v>
      </c>
      <c r="I18" s="533">
        <f>SUM(I8:I17)</f>
        <v>0</v>
      </c>
      <c r="J18" s="570">
        <v>618</v>
      </c>
      <c r="K18" s="533">
        <f>SUM(K8:K17)</f>
        <v>19220</v>
      </c>
      <c r="L18" s="212">
        <f>SUM(L8:L17)</f>
        <v>104480</v>
      </c>
      <c r="M18" s="571"/>
      <c r="P18" s="154"/>
    </row>
    <row r="19" spans="2:20" ht="15.75" thickTop="1">
      <c r="L19" s="161" t="s">
        <v>51</v>
      </c>
      <c r="P19" s="154"/>
    </row>
    <row r="20" spans="2:20">
      <c r="P20" s="154"/>
      <c r="S20" s="157">
        <v>81333.070000000007</v>
      </c>
      <c r="T20" s="152" t="s">
        <v>228</v>
      </c>
    </row>
    <row r="21" spans="2:20">
      <c r="F21" s="165"/>
      <c r="G21" s="165"/>
      <c r="H21" s="165"/>
      <c r="I21" s="165"/>
      <c r="J21" s="165"/>
      <c r="L21" s="165"/>
      <c r="M21" s="165"/>
      <c r="P21" s="154"/>
      <c r="S21" s="157">
        <v>53056.03</v>
      </c>
      <c r="T21" s="152" t="s">
        <v>229</v>
      </c>
    </row>
    <row r="22" spans="2:20">
      <c r="B22" s="621" t="s">
        <v>759</v>
      </c>
      <c r="C22" s="621"/>
      <c r="D22" s="164"/>
      <c r="F22" s="622" t="s">
        <v>45</v>
      </c>
      <c r="G22" s="622"/>
      <c r="H22" s="622"/>
      <c r="I22" s="622"/>
      <c r="J22" s="622"/>
      <c r="L22" s="622" t="s">
        <v>616</v>
      </c>
      <c r="M22" s="622"/>
      <c r="N22" s="6"/>
      <c r="P22" s="99"/>
      <c r="Q22" s="99"/>
      <c r="S22" s="158"/>
    </row>
    <row r="23" spans="2:20">
      <c r="B23" s="622" t="s">
        <v>150</v>
      </c>
      <c r="C23" s="622"/>
      <c r="D23" s="6"/>
      <c r="F23" s="622" t="s">
        <v>437</v>
      </c>
      <c r="G23" s="622"/>
      <c r="H23" s="622"/>
      <c r="I23" s="622"/>
      <c r="J23" s="622"/>
      <c r="L23" s="622" t="s">
        <v>30</v>
      </c>
      <c r="M23" s="622"/>
      <c r="N23" s="6"/>
      <c r="P23" s="6"/>
      <c r="Q23" s="6"/>
    </row>
    <row r="24" spans="2:20">
      <c r="P24" s="154"/>
    </row>
    <row r="25" spans="2:20">
      <c r="P25" s="154"/>
      <c r="S25" s="157">
        <v>96237.05</v>
      </c>
      <c r="T25" s="152" t="s">
        <v>217</v>
      </c>
    </row>
    <row r="26" spans="2:20">
      <c r="P26" s="154"/>
    </row>
    <row r="27" spans="2:20">
      <c r="L27" s="260">
        <f>G18-I18-J18</f>
        <v>123082</v>
      </c>
      <c r="P27" s="154"/>
      <c r="S27" s="157">
        <v>103878.79</v>
      </c>
      <c r="T27" s="152" t="s">
        <v>226</v>
      </c>
    </row>
    <row r="28" spans="2:20">
      <c r="L28" s="260">
        <f>L18-L27</f>
        <v>-18602</v>
      </c>
      <c r="P28" s="154"/>
    </row>
    <row r="29" spans="2:20">
      <c r="P29" s="154"/>
      <c r="S29" s="157">
        <v>128320</v>
      </c>
      <c r="T29" s="152" t="s">
        <v>268</v>
      </c>
    </row>
    <row r="30" spans="2:20">
      <c r="P30" s="162"/>
      <c r="S30" s="163">
        <f>SUM(S15:S29)</f>
        <v>806112.31</v>
      </c>
      <c r="T30" s="152" t="s">
        <v>269</v>
      </c>
    </row>
    <row r="31" spans="2:20">
      <c r="P31" s="162"/>
    </row>
    <row r="32" spans="2:20">
      <c r="P32" s="162"/>
    </row>
    <row r="33" spans="16:16">
      <c r="P33" s="162"/>
    </row>
    <row r="34" spans="16:16">
      <c r="P34" s="162"/>
    </row>
    <row r="35" spans="16:16">
      <c r="P35" s="162"/>
    </row>
    <row r="36" spans="16:16">
      <c r="P36" s="162"/>
    </row>
    <row r="37" spans="16:16">
      <c r="P37" s="162"/>
    </row>
    <row r="38" spans="16:16">
      <c r="P38" s="162"/>
    </row>
    <row r="39" spans="16:16">
      <c r="P39" s="162"/>
    </row>
  </sheetData>
  <mergeCells count="20">
    <mergeCell ref="B22:C22"/>
    <mergeCell ref="B23:C23"/>
    <mergeCell ref="L22:M22"/>
    <mergeCell ref="L23:M23"/>
    <mergeCell ref="F22:J22"/>
    <mergeCell ref="F23:J23"/>
    <mergeCell ref="C15:D15"/>
    <mergeCell ref="C16:D16"/>
    <mergeCell ref="C17:D17"/>
    <mergeCell ref="C6:D6"/>
    <mergeCell ref="C1:H1"/>
    <mergeCell ref="B2:M2"/>
    <mergeCell ref="B3:M3"/>
    <mergeCell ref="C8:D8"/>
    <mergeCell ref="C9:D9"/>
    <mergeCell ref="C10:D10"/>
    <mergeCell ref="C11:D11"/>
    <mergeCell ref="C12:D12"/>
    <mergeCell ref="C13:D13"/>
    <mergeCell ref="C14:D14"/>
  </mergeCells>
  <printOptions horizontalCentered="1"/>
  <pageMargins left="0.7" right="0.7" top="0.75" bottom="0.75" header="0.3" footer="0.3"/>
  <pageSetup paperSize="5" scale="7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2:L33"/>
  <sheetViews>
    <sheetView topLeftCell="E1" workbookViewId="0">
      <selection activeCell="I20" sqref="I20"/>
    </sheetView>
  </sheetViews>
  <sheetFormatPr baseColWidth="10" defaultRowHeight="15"/>
  <cols>
    <col min="1" max="1" width="2" customWidth="1"/>
    <col min="2" max="2" width="5" customWidth="1"/>
    <col min="3" max="3" width="9.7109375" customWidth="1"/>
    <col min="5" max="5" width="12.140625" customWidth="1"/>
    <col min="6" max="6" width="18.140625" customWidth="1"/>
    <col min="7" max="7" width="51.5703125" customWidth="1"/>
    <col min="8" max="8" width="4.42578125" customWidth="1"/>
    <col min="9" max="9" width="20.7109375" customWidth="1"/>
    <col min="10" max="10" width="16.140625" customWidth="1"/>
    <col min="11" max="11" width="32.140625" customWidth="1"/>
    <col min="12" max="12" width="23.140625" customWidth="1"/>
  </cols>
  <sheetData>
    <row r="2" spans="3:12" ht="24.75">
      <c r="C2" s="697" t="s">
        <v>572</v>
      </c>
      <c r="D2" s="697"/>
      <c r="E2" s="697"/>
      <c r="F2" s="697"/>
      <c r="G2" s="697"/>
      <c r="H2" s="697"/>
      <c r="I2" s="697"/>
      <c r="J2" s="697"/>
      <c r="K2" s="248"/>
    </row>
    <row r="3" spans="3:12" ht="42.75">
      <c r="C3" s="698" t="s">
        <v>793</v>
      </c>
      <c r="D3" s="698"/>
      <c r="E3" s="698"/>
      <c r="F3" s="698"/>
      <c r="G3" s="698"/>
      <c r="H3" s="698"/>
      <c r="I3" s="698"/>
      <c r="J3" s="294"/>
      <c r="K3" s="181"/>
    </row>
    <row r="4" spans="3:12" ht="18.75">
      <c r="C4" s="699" t="s">
        <v>357</v>
      </c>
      <c r="D4" s="701" t="s">
        <v>52</v>
      </c>
      <c r="E4" s="701"/>
      <c r="F4" s="701"/>
      <c r="G4" s="179"/>
      <c r="H4" s="179" t="s">
        <v>676</v>
      </c>
      <c r="I4" s="179"/>
      <c r="J4" s="166"/>
      <c r="K4" s="166"/>
    </row>
    <row r="5" spans="3:12" ht="18.75">
      <c r="C5" s="700"/>
      <c r="D5" s="180" t="s">
        <v>53</v>
      </c>
      <c r="E5" s="179" t="s">
        <v>54</v>
      </c>
      <c r="F5" s="179" t="s">
        <v>55</v>
      </c>
      <c r="G5" s="179" t="s">
        <v>56</v>
      </c>
      <c r="H5" s="179"/>
      <c r="I5" s="179" t="s">
        <v>57</v>
      </c>
      <c r="J5" s="179" t="s">
        <v>356</v>
      </c>
      <c r="K5" s="249" t="s">
        <v>560</v>
      </c>
    </row>
    <row r="6" spans="3:12">
      <c r="C6" s="174">
        <v>1</v>
      </c>
      <c r="D6" s="177" t="s">
        <v>321</v>
      </c>
      <c r="E6" s="177" t="s">
        <v>347</v>
      </c>
      <c r="F6" s="173" t="s">
        <v>346</v>
      </c>
      <c r="G6" s="177" t="s">
        <v>345</v>
      </c>
      <c r="H6" s="177">
        <v>122</v>
      </c>
      <c r="I6" s="176" t="s">
        <v>354</v>
      </c>
      <c r="J6" s="467">
        <v>1146</v>
      </c>
      <c r="K6" s="175"/>
    </row>
    <row r="7" spans="3:12">
      <c r="C7" s="174">
        <v>2</v>
      </c>
      <c r="D7" s="177" t="s">
        <v>334</v>
      </c>
      <c r="E7" s="177" t="s">
        <v>329</v>
      </c>
      <c r="F7" s="177" t="s">
        <v>333</v>
      </c>
      <c r="G7" s="177" t="s">
        <v>332</v>
      </c>
      <c r="H7" s="177">
        <v>122</v>
      </c>
      <c r="I7" s="178">
        <v>15544028286487</v>
      </c>
      <c r="J7" s="467">
        <v>1146</v>
      </c>
      <c r="K7" s="175"/>
    </row>
    <row r="8" spans="3:12">
      <c r="C8" s="174">
        <v>3</v>
      </c>
      <c r="D8" s="177" t="s">
        <v>645</v>
      </c>
      <c r="E8" s="177" t="s">
        <v>646</v>
      </c>
      <c r="F8" s="177" t="s">
        <v>647</v>
      </c>
      <c r="G8" s="177" t="s">
        <v>331</v>
      </c>
      <c r="H8" s="177">
        <v>122</v>
      </c>
      <c r="I8" s="178">
        <v>15600228287644</v>
      </c>
      <c r="J8" s="467">
        <v>1146</v>
      </c>
      <c r="K8" s="175"/>
    </row>
    <row r="9" spans="3:12">
      <c r="C9" s="174">
        <v>4</v>
      </c>
      <c r="D9" s="177" t="s">
        <v>344</v>
      </c>
      <c r="E9" s="177" t="s">
        <v>474</v>
      </c>
      <c r="F9" s="177" t="s">
        <v>473</v>
      </c>
      <c r="G9" s="177" t="s">
        <v>677</v>
      </c>
      <c r="H9" s="177">
        <v>122</v>
      </c>
      <c r="I9" s="178"/>
      <c r="J9" s="467">
        <v>1146</v>
      </c>
      <c r="K9" s="175"/>
    </row>
    <row r="10" spans="3:12">
      <c r="C10" s="174">
        <v>5</v>
      </c>
      <c r="D10" s="177" t="s">
        <v>317</v>
      </c>
      <c r="E10" s="177" t="s">
        <v>316</v>
      </c>
      <c r="F10" s="173" t="s">
        <v>315</v>
      </c>
      <c r="G10" s="177" t="s">
        <v>314</v>
      </c>
      <c r="H10" s="177">
        <v>122</v>
      </c>
      <c r="I10" s="176" t="s">
        <v>343</v>
      </c>
      <c r="J10" s="467">
        <v>1146</v>
      </c>
      <c r="K10" s="268"/>
      <c r="L10" s="295"/>
    </row>
    <row r="11" spans="3:12">
      <c r="C11" s="174">
        <v>6</v>
      </c>
      <c r="D11" s="173" t="s">
        <v>313</v>
      </c>
      <c r="E11" s="173" t="s">
        <v>312</v>
      </c>
      <c r="F11" s="173" t="s">
        <v>311</v>
      </c>
      <c r="G11" s="173" t="s">
        <v>310</v>
      </c>
      <c r="H11" s="177">
        <v>122</v>
      </c>
      <c r="I11" s="176" t="s">
        <v>338</v>
      </c>
      <c r="J11" s="467">
        <v>1146</v>
      </c>
      <c r="K11" s="175"/>
    </row>
    <row r="12" spans="3:12">
      <c r="C12" s="174">
        <v>7</v>
      </c>
      <c r="D12" s="177" t="s">
        <v>554</v>
      </c>
      <c r="E12" s="177" t="s">
        <v>555</v>
      </c>
      <c r="F12" s="177" t="s">
        <v>556</v>
      </c>
      <c r="G12" s="177" t="s">
        <v>557</v>
      </c>
      <c r="H12" s="177">
        <v>122</v>
      </c>
      <c r="I12" s="176" t="s">
        <v>335</v>
      </c>
      <c r="J12" s="467">
        <v>1712</v>
      </c>
      <c r="K12" s="175"/>
    </row>
    <row r="13" spans="3:12">
      <c r="C13" s="174">
        <v>8</v>
      </c>
      <c r="D13" s="177" t="s">
        <v>587</v>
      </c>
      <c r="E13" s="177" t="s">
        <v>347</v>
      </c>
      <c r="F13" s="177" t="s">
        <v>588</v>
      </c>
      <c r="G13" s="177" t="s">
        <v>589</v>
      </c>
      <c r="H13" s="177">
        <v>122</v>
      </c>
      <c r="I13" s="178">
        <v>1553028285628</v>
      </c>
      <c r="J13" s="467">
        <v>1146</v>
      </c>
      <c r="K13" s="175"/>
    </row>
    <row r="14" spans="3:12">
      <c r="C14" s="174">
        <v>9</v>
      </c>
      <c r="D14" s="177" t="s">
        <v>593</v>
      </c>
      <c r="E14" s="177" t="s">
        <v>594</v>
      </c>
      <c r="F14" s="177" t="s">
        <v>333</v>
      </c>
      <c r="G14" s="177" t="s">
        <v>595</v>
      </c>
      <c r="H14" s="177">
        <v>122</v>
      </c>
      <c r="I14" s="178"/>
      <c r="J14" s="467">
        <v>1146</v>
      </c>
      <c r="K14" s="175"/>
    </row>
    <row r="15" spans="3:12">
      <c r="C15" s="421">
        <v>10</v>
      </c>
      <c r="D15" s="199" t="s">
        <v>700</v>
      </c>
      <c r="E15" s="199" t="s">
        <v>701</v>
      </c>
      <c r="F15" s="199" t="s">
        <v>702</v>
      </c>
      <c r="G15" s="199" t="s">
        <v>725</v>
      </c>
      <c r="H15" s="199">
        <v>122</v>
      </c>
      <c r="I15" s="422"/>
      <c r="J15" s="468">
        <v>1712</v>
      </c>
      <c r="K15" s="423"/>
      <c r="L15" t="s">
        <v>682</v>
      </c>
    </row>
    <row r="16" spans="3:12">
      <c r="C16" s="421">
        <v>11</v>
      </c>
      <c r="D16" s="199" t="s">
        <v>722</v>
      </c>
      <c r="E16" s="199" t="s">
        <v>723</v>
      </c>
      <c r="F16" s="199" t="s">
        <v>737</v>
      </c>
      <c r="G16" s="199" t="s">
        <v>724</v>
      </c>
      <c r="H16" s="199">
        <v>122</v>
      </c>
      <c r="I16" s="422"/>
      <c r="J16" s="468">
        <v>1560</v>
      </c>
      <c r="K16" s="423"/>
      <c r="L16" t="s">
        <v>728</v>
      </c>
    </row>
    <row r="17" spans="3:12" ht="25.5" customHeight="1" thickBot="1">
      <c r="C17" s="381">
        <v>12</v>
      </c>
      <c r="D17" s="382" t="s">
        <v>558</v>
      </c>
      <c r="E17" s="382" t="s">
        <v>554</v>
      </c>
      <c r="F17" s="382" t="s">
        <v>559</v>
      </c>
      <c r="G17" s="383" t="s">
        <v>590</v>
      </c>
      <c r="H17" s="384">
        <v>122</v>
      </c>
      <c r="I17" s="385" t="s">
        <v>326</v>
      </c>
      <c r="J17" s="469">
        <v>1639</v>
      </c>
      <c r="K17" s="386"/>
    </row>
    <row r="18" spans="3:12" ht="15.75" thickTop="1">
      <c r="C18" s="375"/>
      <c r="D18" s="376"/>
      <c r="E18" s="376"/>
      <c r="F18" s="376"/>
      <c r="G18" s="377"/>
      <c r="H18" s="210"/>
      <c r="I18" s="378"/>
      <c r="J18" s="379">
        <f>SUM(J6:J17)</f>
        <v>15791</v>
      </c>
      <c r="K18" s="380"/>
    </row>
    <row r="19" spans="3:12">
      <c r="C19" s="375"/>
      <c r="D19" s="210"/>
      <c r="E19" s="210"/>
      <c r="F19" s="376"/>
      <c r="G19" s="210"/>
      <c r="H19" s="210"/>
      <c r="I19" s="378"/>
      <c r="J19" s="380"/>
      <c r="K19" s="380"/>
    </row>
    <row r="20" spans="3:12">
      <c r="C20" s="367">
        <v>13</v>
      </c>
      <c r="D20" s="177" t="s">
        <v>324</v>
      </c>
      <c r="E20" s="177" t="s">
        <v>337</v>
      </c>
      <c r="F20" s="173" t="s">
        <v>566</v>
      </c>
      <c r="G20" s="177" t="s">
        <v>355</v>
      </c>
      <c r="H20" s="177">
        <v>443</v>
      </c>
      <c r="I20" s="178" t="s">
        <v>325</v>
      </c>
      <c r="J20" s="467">
        <v>1146</v>
      </c>
      <c r="K20" s="175"/>
    </row>
    <row r="21" spans="3:12">
      <c r="C21" s="174">
        <v>14</v>
      </c>
      <c r="D21" s="173" t="s">
        <v>353</v>
      </c>
      <c r="E21" s="173" t="s">
        <v>323</v>
      </c>
      <c r="F21" s="173" t="s">
        <v>352</v>
      </c>
      <c r="G21" s="177" t="s">
        <v>351</v>
      </c>
      <c r="H21" s="177">
        <v>443</v>
      </c>
      <c r="I21" s="178"/>
      <c r="J21" s="467">
        <v>1146</v>
      </c>
      <c r="K21" s="171"/>
    </row>
    <row r="22" spans="3:12">
      <c r="C22" s="174">
        <v>15</v>
      </c>
      <c r="D22" s="177" t="s">
        <v>342</v>
      </c>
      <c r="E22" s="177" t="s">
        <v>341</v>
      </c>
      <c r="F22" s="173" t="s">
        <v>340</v>
      </c>
      <c r="G22" s="177" t="s">
        <v>339</v>
      </c>
      <c r="H22" s="177">
        <v>443</v>
      </c>
      <c r="I22" s="176"/>
      <c r="J22" s="467">
        <v>1146</v>
      </c>
      <c r="K22" s="175"/>
    </row>
    <row r="23" spans="3:12">
      <c r="C23" s="174">
        <v>16</v>
      </c>
      <c r="D23" s="177" t="s">
        <v>680</v>
      </c>
      <c r="E23" s="177" t="s">
        <v>312</v>
      </c>
      <c r="F23" s="173" t="s">
        <v>681</v>
      </c>
      <c r="G23" s="177" t="s">
        <v>336</v>
      </c>
      <c r="H23" s="177">
        <v>443</v>
      </c>
      <c r="I23" s="172"/>
      <c r="J23" s="467">
        <v>1146</v>
      </c>
      <c r="K23" s="171"/>
      <c r="L23" s="277" t="s">
        <v>682</v>
      </c>
    </row>
    <row r="24" spans="3:12">
      <c r="C24" s="367">
        <v>17</v>
      </c>
      <c r="D24" s="177" t="s">
        <v>330</v>
      </c>
      <c r="E24" s="177" t="s">
        <v>329</v>
      </c>
      <c r="F24" s="173" t="s">
        <v>328</v>
      </c>
      <c r="G24" s="177" t="s">
        <v>327</v>
      </c>
      <c r="H24" s="177">
        <v>443</v>
      </c>
      <c r="I24" s="176"/>
      <c r="J24" s="467">
        <v>1146</v>
      </c>
      <c r="K24" s="171"/>
    </row>
    <row r="25" spans="3:12">
      <c r="C25" s="367">
        <v>18</v>
      </c>
      <c r="D25" s="368" t="s">
        <v>324</v>
      </c>
      <c r="E25" s="368" t="s">
        <v>621</v>
      </c>
      <c r="F25" s="368" t="s">
        <v>634</v>
      </c>
      <c r="G25" s="177" t="s">
        <v>322</v>
      </c>
      <c r="H25" s="177">
        <v>443</v>
      </c>
      <c r="I25" s="176"/>
      <c r="J25" s="467">
        <v>1146</v>
      </c>
      <c r="K25" s="171"/>
    </row>
    <row r="26" spans="3:12" ht="15.75" thickBot="1">
      <c r="C26" s="392">
        <v>19</v>
      </c>
      <c r="D26" s="384" t="s">
        <v>321</v>
      </c>
      <c r="E26" s="384" t="s">
        <v>320</v>
      </c>
      <c r="F26" s="382" t="s">
        <v>319</v>
      </c>
      <c r="G26" s="384" t="s">
        <v>318</v>
      </c>
      <c r="H26" s="384">
        <v>443</v>
      </c>
      <c r="I26" s="393"/>
      <c r="J26" s="467">
        <v>1146</v>
      </c>
      <c r="K26" s="394"/>
      <c r="L26" s="295"/>
    </row>
    <row r="27" spans="3:12" ht="15.75" thickTop="1">
      <c r="C27" s="375"/>
      <c r="D27" s="210"/>
      <c r="E27" s="210"/>
      <c r="F27" s="376"/>
      <c r="G27" s="210"/>
      <c r="H27" s="210"/>
      <c r="I27" s="391"/>
      <c r="J27" s="395">
        <f>SUM(J20:J26)</f>
        <v>8022</v>
      </c>
      <c r="K27" s="389"/>
      <c r="L27" s="295"/>
    </row>
    <row r="28" spans="3:12">
      <c r="C28" s="375"/>
      <c r="D28" s="210"/>
      <c r="E28" s="210"/>
      <c r="F28" s="376"/>
      <c r="G28" s="210"/>
      <c r="H28" s="210"/>
      <c r="I28" s="391"/>
      <c r="J28" s="390"/>
      <c r="K28" s="389"/>
      <c r="L28" s="295"/>
    </row>
    <row r="29" spans="3:12">
      <c r="C29" s="401">
        <v>20</v>
      </c>
      <c r="D29" s="177" t="s">
        <v>313</v>
      </c>
      <c r="E29" s="177" t="s">
        <v>350</v>
      </c>
      <c r="F29" s="173" t="s">
        <v>349</v>
      </c>
      <c r="G29" s="177" t="s">
        <v>348</v>
      </c>
      <c r="H29" s="173">
        <v>445</v>
      </c>
      <c r="I29" s="172" t="s">
        <v>591</v>
      </c>
      <c r="J29" s="470">
        <v>1136</v>
      </c>
      <c r="K29" s="171"/>
    </row>
    <row r="30" spans="3:12">
      <c r="C30" s="387"/>
      <c r="D30" s="210"/>
      <c r="E30" s="210"/>
      <c r="F30" s="376"/>
      <c r="G30" s="210"/>
      <c r="H30" s="376"/>
      <c r="I30" s="388"/>
      <c r="J30" s="395">
        <f>SUM(J29)</f>
        <v>1136</v>
      </c>
      <c r="K30" s="389"/>
    </row>
    <row r="31" spans="3:12" ht="11.25" customHeight="1">
      <c r="C31" s="387"/>
      <c r="D31" s="210"/>
      <c r="E31" s="210"/>
      <c r="F31" s="376"/>
      <c r="G31" s="210"/>
      <c r="H31" s="376"/>
      <c r="I31" s="388"/>
      <c r="J31" s="396"/>
      <c r="K31" s="389"/>
    </row>
    <row r="32" spans="3:12" ht="15.75" thickBot="1">
      <c r="C32" s="242"/>
      <c r="D32" s="242"/>
      <c r="E32" s="242"/>
      <c r="F32" s="242"/>
      <c r="G32" s="242"/>
      <c r="H32" s="397"/>
      <c r="I32" s="397"/>
      <c r="J32" s="398">
        <f>J18+J27+J30</f>
        <v>24949</v>
      </c>
      <c r="K32" s="399"/>
    </row>
    <row r="33" ht="15.75" thickTop="1"/>
  </sheetData>
  <mergeCells count="4">
    <mergeCell ref="C2:J2"/>
    <mergeCell ref="C3:I3"/>
    <mergeCell ref="C4:C5"/>
    <mergeCell ref="D4:F4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P23"/>
  <sheetViews>
    <sheetView workbookViewId="0">
      <selection activeCell="I22" sqref="I22"/>
    </sheetView>
  </sheetViews>
  <sheetFormatPr baseColWidth="10" defaultRowHeight="15"/>
  <cols>
    <col min="4" max="4" width="15.42578125" customWidth="1"/>
    <col min="5" max="5" width="14.42578125" customWidth="1"/>
    <col min="6" max="6" width="23.28515625" customWidth="1"/>
    <col min="7" max="7" width="0.5703125" customWidth="1"/>
    <col min="8" max="8" width="12.28515625" bestFit="1" customWidth="1"/>
    <col min="10" max="10" width="12.28515625" bestFit="1" customWidth="1"/>
    <col min="12" max="12" width="16.85546875" customWidth="1"/>
    <col min="13" max="13" width="10" hidden="1" customWidth="1"/>
    <col min="14" max="14" width="12.7109375" hidden="1" customWidth="1"/>
    <col min="15" max="15" width="26" customWidth="1"/>
  </cols>
  <sheetData>
    <row r="1" spans="2:16" ht="18">
      <c r="B1" s="702" t="s">
        <v>794</v>
      </c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703"/>
      <c r="N1" s="704"/>
    </row>
    <row r="2" spans="2:16" ht="15.75">
      <c r="B2" s="705" t="s">
        <v>414</v>
      </c>
      <c r="C2" s="705"/>
      <c r="D2" s="705"/>
      <c r="E2" s="184" t="s">
        <v>156</v>
      </c>
      <c r="F2" s="185"/>
      <c r="G2" s="185"/>
      <c r="H2" s="185"/>
      <c r="I2" s="185"/>
      <c r="J2" s="185"/>
      <c r="K2" s="186"/>
      <c r="L2" s="309"/>
      <c r="M2" s="185"/>
      <c r="N2" s="185"/>
    </row>
    <row r="3" spans="2:16" ht="15.75">
      <c r="B3" s="402" t="s">
        <v>157</v>
      </c>
      <c r="C3" s="187"/>
      <c r="D3" s="187"/>
      <c r="E3" s="187"/>
      <c r="F3" s="187"/>
      <c r="G3" s="188" t="s">
        <v>28</v>
      </c>
      <c r="H3" s="706" t="s">
        <v>60</v>
      </c>
      <c r="I3" s="707"/>
      <c r="J3" s="189"/>
      <c r="K3" s="190" t="s">
        <v>61</v>
      </c>
      <c r="L3" s="191"/>
      <c r="M3" s="300"/>
      <c r="N3" s="300"/>
    </row>
    <row r="4" spans="2:16" ht="15.75" customHeight="1">
      <c r="B4" s="403" t="s">
        <v>158</v>
      </c>
      <c r="C4" s="708" t="s">
        <v>52</v>
      </c>
      <c r="D4" s="709"/>
      <c r="E4" s="709"/>
      <c r="F4" s="192"/>
      <c r="G4" s="437"/>
      <c r="H4" s="412" t="s">
        <v>3</v>
      </c>
      <c r="I4" s="413" t="s">
        <v>159</v>
      </c>
      <c r="J4" s="414" t="s">
        <v>67</v>
      </c>
      <c r="K4" s="415" t="s">
        <v>415</v>
      </c>
      <c r="L4" s="416" t="s">
        <v>160</v>
      </c>
      <c r="M4" s="303" t="s">
        <v>642</v>
      </c>
      <c r="N4" s="301"/>
    </row>
    <row r="5" spans="2:16" ht="15.75">
      <c r="B5" s="404" t="s">
        <v>161</v>
      </c>
      <c r="C5" s="405" t="s">
        <v>53</v>
      </c>
      <c r="D5" s="406" t="s">
        <v>54</v>
      </c>
      <c r="E5" s="406" t="s">
        <v>55</v>
      </c>
      <c r="F5" s="406" t="s">
        <v>56</v>
      </c>
      <c r="G5" s="407" t="s">
        <v>57</v>
      </c>
      <c r="H5" s="408" t="s">
        <v>416</v>
      </c>
      <c r="I5" s="409" t="s">
        <v>165</v>
      </c>
      <c r="J5" s="410" t="s">
        <v>166</v>
      </c>
      <c r="K5" s="411" t="s">
        <v>416</v>
      </c>
      <c r="L5" s="406" t="s">
        <v>168</v>
      </c>
      <c r="M5" s="302" t="s">
        <v>641</v>
      </c>
      <c r="N5" s="302" t="s">
        <v>552</v>
      </c>
    </row>
    <row r="6" spans="2:16">
      <c r="B6" s="193" t="s">
        <v>417</v>
      </c>
      <c r="C6" s="193"/>
      <c r="D6" s="193"/>
      <c r="E6" s="193"/>
      <c r="F6" s="194"/>
      <c r="G6" s="194"/>
      <c r="H6" s="195"/>
      <c r="I6" s="195"/>
      <c r="J6" s="194"/>
      <c r="K6" s="195"/>
      <c r="L6" s="194"/>
      <c r="M6" s="194"/>
      <c r="N6" s="194"/>
    </row>
    <row r="7" spans="2:16" ht="36.75">
      <c r="B7" s="177">
        <v>1</v>
      </c>
      <c r="C7" s="173" t="s">
        <v>577</v>
      </c>
      <c r="D7" s="173" t="s">
        <v>650</v>
      </c>
      <c r="E7" s="173" t="s">
        <v>651</v>
      </c>
      <c r="F7" s="266" t="s">
        <v>735</v>
      </c>
      <c r="G7" s="177"/>
      <c r="H7" s="268">
        <v>5480.6</v>
      </c>
      <c r="I7" s="175">
        <f>H7</f>
        <v>5480.6</v>
      </c>
      <c r="J7" s="196"/>
      <c r="K7" s="175">
        <v>55.76</v>
      </c>
      <c r="L7" s="197">
        <f>I7+J7-K7</f>
        <v>5424.84</v>
      </c>
      <c r="M7" s="307"/>
      <c r="N7" s="197">
        <f t="shared" ref="N7:N14" si="0">SUM(L7-M7)</f>
        <v>5424.84</v>
      </c>
      <c r="O7" s="198"/>
    </row>
    <row r="8" spans="2:16">
      <c r="B8" s="177">
        <v>2</v>
      </c>
      <c r="C8" s="177" t="s">
        <v>420</v>
      </c>
      <c r="D8" s="177" t="s">
        <v>637</v>
      </c>
      <c r="E8" s="177" t="s">
        <v>638</v>
      </c>
      <c r="F8" s="177" t="s">
        <v>418</v>
      </c>
      <c r="G8" s="177" t="s">
        <v>419</v>
      </c>
      <c r="H8" s="268">
        <v>2435.5500000000002</v>
      </c>
      <c r="I8" s="268">
        <f>H8</f>
        <v>2435.5500000000002</v>
      </c>
      <c r="J8" s="196">
        <v>276.87</v>
      </c>
      <c r="K8" s="268"/>
      <c r="L8" s="197">
        <f t="shared" ref="L8:L14" si="1">I8+J8</f>
        <v>2712.42</v>
      </c>
      <c r="M8" s="299"/>
      <c r="N8" s="299">
        <f t="shared" si="0"/>
        <v>2712.42</v>
      </c>
      <c r="O8" s="198"/>
      <c r="P8" s="295"/>
    </row>
    <row r="9" spans="2:16">
      <c r="B9" s="177">
        <v>3</v>
      </c>
      <c r="C9" s="177" t="s">
        <v>420</v>
      </c>
      <c r="D9" s="177" t="s">
        <v>204</v>
      </c>
      <c r="E9" s="177" t="s">
        <v>421</v>
      </c>
      <c r="F9" s="177" t="s">
        <v>422</v>
      </c>
      <c r="G9" s="177" t="s">
        <v>423</v>
      </c>
      <c r="H9" s="268">
        <v>2435.5500000000002</v>
      </c>
      <c r="I9" s="268">
        <f t="shared" ref="I9" si="2">H9</f>
        <v>2435.5500000000002</v>
      </c>
      <c r="J9" s="196">
        <v>276.87</v>
      </c>
      <c r="K9" s="268"/>
      <c r="L9" s="197">
        <f t="shared" si="1"/>
        <v>2712.42</v>
      </c>
      <c r="M9" s="299"/>
      <c r="N9" s="298">
        <f t="shared" si="0"/>
        <v>2712.42</v>
      </c>
      <c r="O9" s="198"/>
    </row>
    <row r="10" spans="2:16" ht="36.75">
      <c r="B10" s="177">
        <v>4</v>
      </c>
      <c r="C10" s="177" t="s">
        <v>207</v>
      </c>
      <c r="D10" s="177" t="s">
        <v>424</v>
      </c>
      <c r="E10" s="177" t="s">
        <v>425</v>
      </c>
      <c r="F10" s="313" t="s">
        <v>426</v>
      </c>
      <c r="G10" s="177"/>
      <c r="H10" s="268">
        <v>5480.6</v>
      </c>
      <c r="I10" s="268">
        <f>H10</f>
        <v>5480.6</v>
      </c>
      <c r="J10" s="196"/>
      <c r="K10" s="268">
        <v>55.76</v>
      </c>
      <c r="L10" s="197">
        <f>I10+J10-K10</f>
        <v>5424.84</v>
      </c>
      <c r="M10" s="299"/>
      <c r="N10" s="298">
        <f t="shared" si="0"/>
        <v>5424.84</v>
      </c>
      <c r="O10" s="198"/>
    </row>
    <row r="11" spans="2:16">
      <c r="B11" s="177">
        <v>5</v>
      </c>
      <c r="C11" s="177" t="s">
        <v>427</v>
      </c>
      <c r="D11" s="177" t="s">
        <v>428</v>
      </c>
      <c r="E11" s="177" t="s">
        <v>429</v>
      </c>
      <c r="F11" s="177" t="s">
        <v>430</v>
      </c>
      <c r="G11" s="177"/>
      <c r="H11" s="268">
        <v>2435.5500000000002</v>
      </c>
      <c r="I11" s="268">
        <f>H11</f>
        <v>2435.5500000000002</v>
      </c>
      <c r="J11" s="196">
        <v>276.87</v>
      </c>
      <c r="K11" s="268"/>
      <c r="L11" s="197">
        <f t="shared" si="1"/>
        <v>2712.42</v>
      </c>
      <c r="M11" s="299"/>
      <c r="N11" s="298">
        <f t="shared" si="0"/>
        <v>2712.42</v>
      </c>
      <c r="O11" s="198"/>
    </row>
    <row r="12" spans="2:16">
      <c r="B12" s="199">
        <v>6</v>
      </c>
      <c r="C12" s="199" t="s">
        <v>91</v>
      </c>
      <c r="D12" s="177" t="s">
        <v>92</v>
      </c>
      <c r="E12" s="177" t="s">
        <v>431</v>
      </c>
      <c r="F12" s="177" t="s">
        <v>432</v>
      </c>
      <c r="G12" s="177" t="s">
        <v>433</v>
      </c>
      <c r="H12" s="268">
        <v>2435.5500000000002</v>
      </c>
      <c r="I12" s="268">
        <f>H12</f>
        <v>2435.5500000000002</v>
      </c>
      <c r="J12" s="196">
        <v>276.87</v>
      </c>
      <c r="K12" s="268"/>
      <c r="L12" s="197">
        <f t="shared" si="1"/>
        <v>2712.42</v>
      </c>
      <c r="M12" s="299"/>
      <c r="N12" s="298">
        <f t="shared" si="0"/>
        <v>2712.42</v>
      </c>
      <c r="O12" s="198"/>
    </row>
    <row r="13" spans="2:16" ht="24.75">
      <c r="B13" s="199">
        <v>7</v>
      </c>
      <c r="C13" s="177" t="s">
        <v>577</v>
      </c>
      <c r="D13" s="177" t="s">
        <v>650</v>
      </c>
      <c r="E13" s="177" t="s">
        <v>651</v>
      </c>
      <c r="F13" s="313" t="s">
        <v>434</v>
      </c>
      <c r="G13" s="177"/>
      <c r="H13" s="268">
        <v>2435.5500000000002</v>
      </c>
      <c r="I13" s="268">
        <f>H13</f>
        <v>2435.5500000000002</v>
      </c>
      <c r="J13" s="196">
        <v>276.87</v>
      </c>
      <c r="K13" s="268"/>
      <c r="L13" s="197">
        <f t="shared" si="1"/>
        <v>2712.42</v>
      </c>
      <c r="M13" s="299"/>
      <c r="N13" s="299">
        <f t="shared" si="0"/>
        <v>2712.42</v>
      </c>
      <c r="O13" s="198"/>
    </row>
    <row r="14" spans="2:16" ht="25.5" thickBot="1">
      <c r="B14" s="199">
        <v>8</v>
      </c>
      <c r="C14" s="177" t="s">
        <v>101</v>
      </c>
      <c r="D14" s="177" t="s">
        <v>690</v>
      </c>
      <c r="E14" s="177" t="s">
        <v>691</v>
      </c>
      <c r="F14" s="313" t="s">
        <v>434</v>
      </c>
      <c r="G14" s="177"/>
      <c r="H14" s="268">
        <v>2435.5500000000002</v>
      </c>
      <c r="I14" s="268">
        <f>H14</f>
        <v>2435.5500000000002</v>
      </c>
      <c r="J14" s="196">
        <v>276.87</v>
      </c>
      <c r="K14" s="268"/>
      <c r="L14" s="418">
        <f t="shared" si="1"/>
        <v>2712.42</v>
      </c>
      <c r="M14" s="308"/>
      <c r="N14" s="304">
        <f t="shared" si="0"/>
        <v>2712.42</v>
      </c>
      <c r="O14" s="278"/>
      <c r="P14" t="s">
        <v>689</v>
      </c>
    </row>
    <row r="15" spans="2:16" ht="15.75" thickBot="1">
      <c r="B15" s="200" t="s">
        <v>435</v>
      </c>
      <c r="C15" s="201"/>
      <c r="D15" s="202"/>
      <c r="E15" s="202"/>
      <c r="F15" s="202"/>
      <c r="G15" s="202"/>
      <c r="H15" s="203">
        <f>SUM(H7:H14)</f>
        <v>25574.5</v>
      </c>
      <c r="I15" s="203">
        <f>SUM(I7:I14)</f>
        <v>25574.5</v>
      </c>
      <c r="J15" s="264">
        <f>SUM(J7:J14)</f>
        <v>1661.2199999999998</v>
      </c>
      <c r="K15" s="297">
        <f>SUM(K7:K13)</f>
        <v>111.52</v>
      </c>
      <c r="L15" s="305">
        <f>SUM(L7:L14)</f>
        <v>27124.199999999997</v>
      </c>
      <c r="M15" s="305">
        <f>SUM(M7:M14)</f>
        <v>0</v>
      </c>
      <c r="N15" s="306">
        <f>SUM(N7:N14)</f>
        <v>27124.199999999997</v>
      </c>
    </row>
    <row r="16" spans="2:16">
      <c r="B16" s="204"/>
      <c r="C16" s="205"/>
      <c r="D16" s="202"/>
      <c r="E16" s="202"/>
      <c r="F16" s="202"/>
      <c r="G16" s="202"/>
      <c r="H16" s="206"/>
      <c r="I16" s="206"/>
      <c r="J16" s="202"/>
      <c r="K16" s="207"/>
      <c r="L16" s="206"/>
      <c r="M16" s="206"/>
      <c r="N16" s="206"/>
    </row>
    <row r="17" spans="2:14">
      <c r="B17" s="204"/>
      <c r="C17" s="205"/>
      <c r="D17" s="202"/>
      <c r="E17" s="202"/>
      <c r="F17" s="202"/>
      <c r="G17" s="202"/>
      <c r="H17" s="206"/>
      <c r="I17" s="206"/>
      <c r="J17" s="202"/>
      <c r="K17" s="207"/>
      <c r="L17" s="206"/>
      <c r="M17" s="206"/>
      <c r="N17" s="206"/>
    </row>
    <row r="18" spans="2:14">
      <c r="C18" s="208"/>
      <c r="D18" s="208"/>
      <c r="F18" s="710"/>
      <c r="G18" s="710"/>
      <c r="I18" s="710"/>
      <c r="J18" s="710"/>
      <c r="K18" s="710"/>
    </row>
    <row r="19" spans="2:14">
      <c r="C19" s="209" t="s">
        <v>436</v>
      </c>
      <c r="D19" s="209"/>
      <c r="E19" s="209"/>
      <c r="F19" s="209" t="s">
        <v>616</v>
      </c>
      <c r="G19" s="209"/>
      <c r="H19" s="209"/>
      <c r="I19" s="209" t="s">
        <v>736</v>
      </c>
      <c r="J19" s="210"/>
      <c r="K19" s="211"/>
    </row>
    <row r="20" spans="2:14">
      <c r="C20" s="209" t="s">
        <v>437</v>
      </c>
      <c r="D20" s="209"/>
      <c r="E20" s="209"/>
      <c r="F20" s="209" t="s">
        <v>438</v>
      </c>
      <c r="G20" s="209"/>
      <c r="H20" s="209"/>
      <c r="I20" s="209" t="s">
        <v>439</v>
      </c>
      <c r="J20" s="210"/>
      <c r="K20" s="210"/>
      <c r="L20" s="220"/>
      <c r="M20" s="220"/>
      <c r="N20" s="220"/>
    </row>
    <row r="21" spans="2:14">
      <c r="C21" s="209"/>
      <c r="D21" s="209"/>
      <c r="E21" s="209"/>
      <c r="F21" s="209"/>
      <c r="G21" s="209"/>
      <c r="H21" s="209"/>
      <c r="I21" s="209"/>
      <c r="J21" s="210"/>
      <c r="K21" s="210"/>
      <c r="L21" s="220"/>
      <c r="M21" s="220"/>
      <c r="N21" s="220"/>
    </row>
    <row r="22" spans="2:14">
      <c r="L22" s="220">
        <f>I15+J15-K15</f>
        <v>27124.2</v>
      </c>
      <c r="M22" s="220"/>
      <c r="N22" s="220">
        <f>L15-M15</f>
        <v>27124.199999999997</v>
      </c>
    </row>
    <row r="23" spans="2:14">
      <c r="L23" s="220">
        <f>L15-L22</f>
        <v>0</v>
      </c>
      <c r="M23" s="220"/>
      <c r="N23" s="220"/>
    </row>
  </sheetData>
  <mergeCells count="6">
    <mergeCell ref="B1:N1"/>
    <mergeCell ref="B2:D2"/>
    <mergeCell ref="H3:I3"/>
    <mergeCell ref="C4:E4"/>
    <mergeCell ref="F18:G18"/>
    <mergeCell ref="I18:K18"/>
  </mergeCells>
  <pageMargins left="0.70866141732283472" right="0.70866141732283472" top="0.74803149606299213" bottom="0.74803149606299213" header="0.31496062992125984" footer="0.31496062992125984"/>
  <pageSetup paperSize="5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73"/>
  <sheetViews>
    <sheetView workbookViewId="0">
      <selection activeCell="C8" sqref="C8"/>
    </sheetView>
  </sheetViews>
  <sheetFormatPr baseColWidth="10" defaultRowHeight="15"/>
  <cols>
    <col min="1" max="2" width="25.85546875" customWidth="1"/>
    <col min="3" max="3" width="23.140625" customWidth="1"/>
    <col min="4" max="4" width="3.7109375" customWidth="1"/>
    <col min="5" max="5" width="14.7109375" customWidth="1"/>
    <col min="6" max="6" width="13.140625" customWidth="1"/>
    <col min="7" max="7" width="13" bestFit="1" customWidth="1"/>
    <col min="8" max="8" width="19" customWidth="1"/>
    <col min="12" max="12" width="14" style="234" customWidth="1"/>
    <col min="15" max="15" width="11.42578125" customWidth="1"/>
  </cols>
  <sheetData>
    <row r="1" spans="1:12" ht="12.75" customHeight="1"/>
    <row r="2" spans="1:12" ht="12.75" customHeight="1">
      <c r="C2" s="687" t="s">
        <v>480</v>
      </c>
      <c r="D2" s="687"/>
      <c r="E2" s="687"/>
      <c r="G2" s="213" t="s">
        <v>481</v>
      </c>
    </row>
    <row r="3" spans="1:12" ht="15" customHeight="1">
      <c r="A3" s="213" t="s">
        <v>752</v>
      </c>
      <c r="B3" s="213"/>
      <c r="C3" s="213"/>
      <c r="D3" s="213"/>
      <c r="E3" s="213"/>
    </row>
    <row r="4" spans="1:12" ht="12.75" customHeight="1">
      <c r="A4" s="213">
        <v>2020</v>
      </c>
      <c r="B4" s="213"/>
      <c r="C4" s="687" t="s">
        <v>479</v>
      </c>
      <c r="D4" s="687"/>
      <c r="E4" s="687"/>
      <c r="G4" s="293">
        <v>0.52222222222222225</v>
      </c>
    </row>
    <row r="5" spans="1:12" ht="12.75" customHeight="1">
      <c r="A5" s="213"/>
      <c r="B5" s="213"/>
      <c r="C5" s="213"/>
      <c r="D5" s="213"/>
      <c r="E5" s="213"/>
    </row>
    <row r="6" spans="1:12" ht="12.75" customHeight="1"/>
    <row r="7" spans="1:12" ht="15.75" thickBot="1">
      <c r="A7" s="233" t="s">
        <v>478</v>
      </c>
      <c r="B7" s="233" t="s">
        <v>752</v>
      </c>
      <c r="C7" s="233" t="s">
        <v>753</v>
      </c>
      <c r="D7" s="213"/>
      <c r="E7" s="232" t="s">
        <v>475</v>
      </c>
      <c r="F7" s="232" t="s">
        <v>476</v>
      </c>
      <c r="G7" s="232" t="s">
        <v>477</v>
      </c>
      <c r="H7" s="240" t="s">
        <v>462</v>
      </c>
      <c r="J7" s="240" t="s">
        <v>563</v>
      </c>
    </row>
    <row r="8" spans="1:12">
      <c r="A8" s="224" t="s">
        <v>457</v>
      </c>
      <c r="B8" s="431">
        <f>C8*2</f>
        <v>247400</v>
      </c>
      <c r="C8" s="250">
        <f>REGIDORES!G18</f>
        <v>123700</v>
      </c>
      <c r="D8" s="218"/>
      <c r="E8" s="227">
        <f t="shared" ref="E8:E13" si="0">C8</f>
        <v>123700</v>
      </c>
      <c r="F8" s="228"/>
      <c r="G8" s="228"/>
    </row>
    <row r="9" spans="1:12">
      <c r="A9" s="224" t="s">
        <v>458</v>
      </c>
      <c r="B9" s="431">
        <f t="shared" ref="B9:B13" si="1">C9*2</f>
        <v>612900</v>
      </c>
      <c r="C9" s="250">
        <f>BASE!H196</f>
        <v>306450</v>
      </c>
      <c r="D9" s="218"/>
      <c r="E9" s="220">
        <f t="shared" si="0"/>
        <v>306450</v>
      </c>
    </row>
    <row r="10" spans="1:12">
      <c r="A10" s="224" t="s">
        <v>459</v>
      </c>
      <c r="B10" s="431">
        <f t="shared" si="1"/>
        <v>0</v>
      </c>
      <c r="C10" s="250"/>
      <c r="D10" s="218"/>
      <c r="E10" s="220">
        <f t="shared" si="0"/>
        <v>0</v>
      </c>
    </row>
    <row r="11" spans="1:12">
      <c r="A11" s="224" t="s">
        <v>460</v>
      </c>
      <c r="B11" s="431">
        <f t="shared" si="1"/>
        <v>0</v>
      </c>
      <c r="C11" s="250"/>
      <c r="D11" s="218"/>
      <c r="E11" s="220">
        <f t="shared" si="0"/>
        <v>0</v>
      </c>
    </row>
    <row r="12" spans="1:12">
      <c r="A12" s="224" t="s">
        <v>461</v>
      </c>
      <c r="B12" s="431">
        <f t="shared" si="1"/>
        <v>168162</v>
      </c>
      <c r="C12" s="250">
        <f>'NOMINA TRAB.EVENTUALES'!M35</f>
        <v>84081</v>
      </c>
      <c r="D12" s="218"/>
      <c r="E12" s="220">
        <f t="shared" si="0"/>
        <v>84081</v>
      </c>
    </row>
    <row r="13" spans="1:12">
      <c r="A13" s="224" t="s">
        <v>462</v>
      </c>
      <c r="B13" s="431">
        <f t="shared" si="1"/>
        <v>345814</v>
      </c>
      <c r="C13" s="250">
        <f>'NOMINA ORD. DE PAGO QUINCENAL'!I66</f>
        <v>172907</v>
      </c>
      <c r="D13" s="225"/>
      <c r="E13" s="221">
        <f t="shared" si="0"/>
        <v>172907</v>
      </c>
      <c r="J13" s="234"/>
    </row>
    <row r="14" spans="1:12">
      <c r="A14" s="224" t="s">
        <v>463</v>
      </c>
      <c r="B14" s="431">
        <f>C14</f>
        <v>24949</v>
      </c>
      <c r="C14" s="250">
        <f>'PAGO TRAB.MENSUALES'!J32</f>
        <v>24949</v>
      </c>
      <c r="D14" s="218"/>
      <c r="F14" s="220">
        <f>C14</f>
        <v>24949</v>
      </c>
    </row>
    <row r="15" spans="1:12">
      <c r="A15" s="224" t="s">
        <v>464</v>
      </c>
      <c r="B15" s="431">
        <f>C15</f>
        <v>20060.400000000001</v>
      </c>
      <c r="C15" s="167">
        <v>20060.400000000001</v>
      </c>
      <c r="D15" s="218"/>
      <c r="E15" s="234"/>
      <c r="F15" s="220"/>
      <c r="G15" s="220">
        <f>'PAGO SEMANAL'!C11</f>
        <v>5015.1000000000004</v>
      </c>
      <c r="H15" s="234"/>
    </row>
    <row r="16" spans="1:12">
      <c r="A16" s="224" t="s">
        <v>366</v>
      </c>
      <c r="B16" s="431">
        <f>C16*2</f>
        <v>55012</v>
      </c>
      <c r="C16" s="250">
        <f>'NOMINA PENSIONADOS'!K15</f>
        <v>27506</v>
      </c>
      <c r="D16" s="218"/>
      <c r="E16" s="220"/>
      <c r="L16" s="234">
        <v>20060.400000000001</v>
      </c>
    </row>
    <row r="17" spans="1:12" ht="15.75" thickBot="1">
      <c r="A17" s="224" t="s">
        <v>465</v>
      </c>
      <c r="B17" s="431" t="e">
        <f>C17</f>
        <v>#REF!</v>
      </c>
      <c r="C17" s="167" t="e">
        <f>#REF!</f>
        <v>#REF!</v>
      </c>
      <c r="D17" s="218"/>
      <c r="E17" s="229"/>
      <c r="F17" s="230" t="e">
        <f>C17</f>
        <v>#REF!</v>
      </c>
      <c r="G17" s="229"/>
      <c r="H17" s="316" t="e">
        <f>#REF!</f>
        <v>#REF!</v>
      </c>
      <c r="L17" s="234">
        <v>214092</v>
      </c>
    </row>
    <row r="18" spans="1:12" ht="15.75" thickTop="1">
      <c r="A18" s="224"/>
      <c r="B18" s="432" t="e">
        <f>SUM(B8:B17)</f>
        <v>#REF!</v>
      </c>
      <c r="C18" s="222" t="e">
        <f>SUM(C8:C17)</f>
        <v>#REF!</v>
      </c>
      <c r="D18" s="226"/>
      <c r="E18" s="223">
        <f>SUM(E8:E17)</f>
        <v>687138</v>
      </c>
      <c r="F18" s="223" t="e">
        <f>SUM(F8:F17)</f>
        <v>#REF!</v>
      </c>
      <c r="G18" s="223">
        <f>SUM(G8:G17)</f>
        <v>5015.1000000000004</v>
      </c>
      <c r="H18" s="317" t="e">
        <f>SUM(H8:H17)</f>
        <v>#REF!</v>
      </c>
      <c r="I18" s="220"/>
      <c r="L18" s="234">
        <v>595306</v>
      </c>
    </row>
    <row r="19" spans="1:12" ht="15.75" thickBot="1">
      <c r="C19" s="168"/>
      <c r="D19" s="168"/>
      <c r="L19" s="234">
        <v>160976.28</v>
      </c>
    </row>
    <row r="20" spans="1:12" ht="15.75" thickBot="1">
      <c r="F20" s="231" t="e">
        <f>E18+F18+G18</f>
        <v>#REF!</v>
      </c>
      <c r="L20" s="234">
        <v>52897.279999999999</v>
      </c>
    </row>
    <row r="21" spans="1:12">
      <c r="F21" s="220"/>
      <c r="L21" s="234">
        <v>364731.92</v>
      </c>
    </row>
    <row r="22" spans="1:12">
      <c r="C22" t="s">
        <v>561</v>
      </c>
      <c r="E22" s="220" t="e">
        <f>E8+E9+E12+E13+F14+G15+H15+E16+F17</f>
        <v>#REF!</v>
      </c>
      <c r="L22" s="234">
        <v>23990</v>
      </c>
    </row>
    <row r="23" spans="1:12">
      <c r="C23" s="208" t="s">
        <v>562</v>
      </c>
      <c r="D23" s="267"/>
      <c r="E23" s="267">
        <f>E10+E11</f>
        <v>0</v>
      </c>
      <c r="L23" s="234">
        <v>25762.080000000002</v>
      </c>
    </row>
    <row r="24" spans="1:12">
      <c r="D24" s="220"/>
      <c r="E24" s="315" t="e">
        <f>SUM(E22:E23)</f>
        <v>#REF!</v>
      </c>
      <c r="L24" s="234">
        <f>SUM(L16:L23)</f>
        <v>1457815.9600000002</v>
      </c>
    </row>
    <row r="25" spans="1:12">
      <c r="D25" s="220"/>
      <c r="E25" s="220"/>
    </row>
    <row r="26" spans="1:12">
      <c r="E26" s="220"/>
    </row>
    <row r="27" spans="1:12">
      <c r="E27" s="220"/>
    </row>
    <row r="28" spans="1:12">
      <c r="C28" s="208"/>
      <c r="D28" s="208"/>
      <c r="E28" s="267"/>
    </row>
    <row r="29" spans="1:12">
      <c r="E29" s="220"/>
    </row>
    <row r="31" spans="1:12">
      <c r="A31" s="214"/>
      <c r="E31" s="247"/>
      <c r="F31" s="220"/>
    </row>
    <row r="32" spans="1:12">
      <c r="A32" s="213"/>
      <c r="B32" s="213"/>
      <c r="C32" s="213"/>
      <c r="D32" s="213"/>
      <c r="E32" s="220"/>
    </row>
    <row r="66" spans="1:1">
      <c r="A66">
        <v>9</v>
      </c>
    </row>
    <row r="67" spans="1:1">
      <c r="A67">
        <v>57</v>
      </c>
    </row>
    <row r="68" spans="1:1">
      <c r="A68">
        <v>22</v>
      </c>
    </row>
    <row r="69" spans="1:1">
      <c r="A69">
        <v>16</v>
      </c>
    </row>
    <row r="70" spans="1:1">
      <c r="A70">
        <v>29</v>
      </c>
    </row>
    <row r="71" spans="1:1">
      <c r="A71">
        <v>43</v>
      </c>
    </row>
    <row r="72" spans="1:1">
      <c r="A72">
        <v>2</v>
      </c>
    </row>
    <row r="73" spans="1:1">
      <c r="A73">
        <f>SUM(A66:A72)</f>
        <v>178</v>
      </c>
    </row>
  </sheetData>
  <mergeCells count="2">
    <mergeCell ref="C2:E2"/>
    <mergeCell ref="C4:E4"/>
  </mergeCells>
  <pageMargins left="0.51181102362204722" right="0.5118110236220472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210"/>
  <sheetViews>
    <sheetView topLeftCell="A160" zoomScaleNormal="100" workbookViewId="0">
      <selection activeCell="G165" sqref="G165"/>
    </sheetView>
  </sheetViews>
  <sheetFormatPr baseColWidth="10" defaultRowHeight="11.25"/>
  <cols>
    <col min="1" max="1" width="2.140625" style="15" customWidth="1"/>
    <col min="2" max="2" width="6.42578125" style="35" customWidth="1"/>
    <col min="3" max="3" width="32.5703125" style="15" customWidth="1"/>
    <col min="4" max="4" width="29.42578125" style="15" customWidth="1"/>
    <col min="5" max="5" width="12.140625" style="328" hidden="1" customWidth="1"/>
    <col min="6" max="6" width="13.5703125" style="15" customWidth="1"/>
    <col min="7" max="7" width="10.85546875" style="15" customWidth="1"/>
    <col min="8" max="8" width="13.5703125" style="15" customWidth="1"/>
    <col min="9" max="9" width="9.42578125" style="15" customWidth="1"/>
    <col min="10" max="10" width="11.7109375" style="15" customWidth="1"/>
    <col min="11" max="12" width="12.42578125" style="15" customWidth="1"/>
    <col min="13" max="13" width="16.5703125" style="15" customWidth="1"/>
    <col min="14" max="14" width="36.42578125" style="15" customWidth="1"/>
    <col min="15" max="16384" width="11.42578125" style="15"/>
  </cols>
  <sheetData>
    <row r="1" spans="2:18" ht="15">
      <c r="B1" s="17"/>
      <c r="C1" s="623" t="s">
        <v>28</v>
      </c>
      <c r="D1" s="623"/>
      <c r="E1" s="623"/>
      <c r="F1" s="624"/>
      <c r="G1" s="624"/>
      <c r="H1" s="624"/>
      <c r="I1" s="624"/>
      <c r="J1" s="152"/>
    </row>
    <row r="2" spans="2:18" ht="19.5">
      <c r="B2" s="629" t="s">
        <v>215</v>
      </c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P2" s="261">
        <f t="shared" ref="P2:P63" si="0">M2-O2</f>
        <v>0</v>
      </c>
    </row>
    <row r="3" spans="2:18" ht="15">
      <c r="B3" s="630" t="s">
        <v>786</v>
      </c>
      <c r="C3" s="630"/>
      <c r="D3" s="630"/>
      <c r="E3" s="630"/>
      <c r="F3" s="630"/>
      <c r="G3" s="630"/>
      <c r="H3" s="630"/>
      <c r="I3" s="630"/>
      <c r="J3" s="630"/>
      <c r="K3" s="630"/>
      <c r="L3" s="630"/>
      <c r="M3" s="630"/>
      <c r="N3" s="630"/>
      <c r="P3" s="261">
        <f t="shared" si="0"/>
        <v>0</v>
      </c>
    </row>
    <row r="4" spans="2:18" ht="12.75">
      <c r="B4" s="16"/>
      <c r="C4" s="18" t="s">
        <v>0</v>
      </c>
      <c r="D4" s="18"/>
      <c r="E4" s="318"/>
      <c r="F4" s="3"/>
      <c r="G4" s="3"/>
      <c r="H4" s="3"/>
      <c r="I4" s="3"/>
      <c r="J4" s="3"/>
      <c r="K4" s="3"/>
      <c r="L4" s="3"/>
      <c r="M4" s="3"/>
      <c r="N4" s="3"/>
      <c r="P4" s="261">
        <f t="shared" si="0"/>
        <v>0</v>
      </c>
    </row>
    <row r="5" spans="2:18" ht="27" customHeight="1">
      <c r="B5" s="538" t="s">
        <v>1</v>
      </c>
      <c r="C5" s="476" t="s">
        <v>2</v>
      </c>
      <c r="D5" s="476" t="s">
        <v>230</v>
      </c>
      <c r="E5" s="477"/>
      <c r="F5" s="476" t="s">
        <v>3</v>
      </c>
      <c r="G5" s="476" t="s">
        <v>4</v>
      </c>
      <c r="H5" s="476" t="s">
        <v>5</v>
      </c>
      <c r="I5" s="476" t="s">
        <v>683</v>
      </c>
      <c r="J5" s="476" t="s">
        <v>604</v>
      </c>
      <c r="K5" s="476" t="s">
        <v>47</v>
      </c>
      <c r="L5" s="476" t="s">
        <v>6</v>
      </c>
      <c r="M5" s="476" t="s">
        <v>7</v>
      </c>
      <c r="N5" s="476" t="s">
        <v>29</v>
      </c>
      <c r="P5" s="261"/>
    </row>
    <row r="6" spans="2:18" ht="18" customHeight="1">
      <c r="B6" s="19" t="s">
        <v>10</v>
      </c>
      <c r="C6" s="3"/>
      <c r="D6" s="3"/>
      <c r="E6" s="319"/>
      <c r="F6" s="3"/>
      <c r="G6" s="3"/>
      <c r="H6" s="3"/>
      <c r="I6" s="3"/>
      <c r="J6" s="3"/>
      <c r="K6" s="3"/>
      <c r="L6" s="3"/>
      <c r="M6" s="3"/>
      <c r="N6" s="3"/>
      <c r="P6" s="261"/>
    </row>
    <row r="7" spans="2:18" ht="30" customHeight="1">
      <c r="B7" s="16" t="s">
        <v>272</v>
      </c>
      <c r="C7" s="3" t="s">
        <v>632</v>
      </c>
      <c r="D7" s="8" t="s">
        <v>233</v>
      </c>
      <c r="E7" s="320">
        <f>9692/2</f>
        <v>4846</v>
      </c>
      <c r="F7" s="10">
        <v>5040</v>
      </c>
      <c r="G7" s="10">
        <v>0</v>
      </c>
      <c r="H7" s="10">
        <f>F7</f>
        <v>5040</v>
      </c>
      <c r="I7" s="471"/>
      <c r="J7" s="10"/>
      <c r="K7" s="10">
        <v>423</v>
      </c>
      <c r="L7" s="10">
        <f>K7</f>
        <v>423</v>
      </c>
      <c r="M7" s="10">
        <f>H7+I7-L7-J7</f>
        <v>4617</v>
      </c>
      <c r="N7" s="3"/>
      <c r="P7" s="261"/>
      <c r="R7" s="15">
        <v>26270.560000000001</v>
      </c>
    </row>
    <row r="8" spans="2:18" ht="30" customHeight="1">
      <c r="B8" s="16" t="s">
        <v>273</v>
      </c>
      <c r="C8" s="3" t="s">
        <v>571</v>
      </c>
      <c r="D8" s="8" t="s">
        <v>234</v>
      </c>
      <c r="E8" s="320">
        <f>51014/2</f>
        <v>25507</v>
      </c>
      <c r="F8" s="10">
        <v>26527</v>
      </c>
      <c r="G8" s="10">
        <v>0</v>
      </c>
      <c r="H8" s="10">
        <f>F8</f>
        <v>26527</v>
      </c>
      <c r="I8" s="10">
        <v>0</v>
      </c>
      <c r="J8" s="10"/>
      <c r="K8" s="10">
        <v>5567</v>
      </c>
      <c r="L8" s="10">
        <f t="shared" ref="L8" si="1">K8</f>
        <v>5567</v>
      </c>
      <c r="M8" s="10">
        <f>H8+I8-L8-J8</f>
        <v>20960</v>
      </c>
      <c r="N8" s="3"/>
      <c r="P8" s="261"/>
      <c r="R8" s="15">
        <v>8802</v>
      </c>
    </row>
    <row r="9" spans="2:18" s="21" customFormat="1" ht="24.95" customHeight="1" thickBot="1">
      <c r="B9" s="560" t="s">
        <v>9</v>
      </c>
      <c r="C9" s="561"/>
      <c r="D9" s="561"/>
      <c r="E9" s="562"/>
      <c r="F9" s="589">
        <f>SUM(F7:F8)</f>
        <v>31567</v>
      </c>
      <c r="G9" s="589">
        <f t="shared" ref="G9:L9" si="2">SUM(G7:G8)</f>
        <v>0</v>
      </c>
      <c r="H9" s="589">
        <f t="shared" si="2"/>
        <v>31567</v>
      </c>
      <c r="I9" s="589">
        <f t="shared" si="2"/>
        <v>0</v>
      </c>
      <c r="J9" s="589">
        <f>SUM(J7:J8)</f>
        <v>0</v>
      </c>
      <c r="K9" s="589">
        <f t="shared" si="2"/>
        <v>5990</v>
      </c>
      <c r="L9" s="589">
        <f t="shared" si="2"/>
        <v>5990</v>
      </c>
      <c r="M9" s="565">
        <f>SUM(M7:M8)</f>
        <v>25577</v>
      </c>
      <c r="N9" s="587"/>
      <c r="O9" s="258">
        <f>H9+I9-L9</f>
        <v>25577</v>
      </c>
      <c r="P9" s="261">
        <f t="shared" si="0"/>
        <v>0</v>
      </c>
      <c r="R9" s="21">
        <v>4758.59</v>
      </c>
    </row>
    <row r="10" spans="2:18" ht="18" customHeight="1" thickTop="1">
      <c r="B10" s="556"/>
      <c r="C10" s="38"/>
      <c r="D10" s="38"/>
      <c r="E10" s="325"/>
      <c r="F10" s="39"/>
      <c r="G10" s="39"/>
      <c r="H10" s="39"/>
      <c r="I10" s="39"/>
      <c r="J10" s="39"/>
      <c r="K10" s="39"/>
      <c r="L10" s="39"/>
      <c r="M10" s="40" t="s">
        <v>51</v>
      </c>
      <c r="N10" s="38"/>
      <c r="P10" s="261"/>
      <c r="R10" s="15">
        <v>16890.93</v>
      </c>
    </row>
    <row r="11" spans="2:18" ht="18" customHeight="1">
      <c r="B11" s="554" t="s">
        <v>11</v>
      </c>
      <c r="C11" s="296"/>
      <c r="D11" s="296"/>
      <c r="E11" s="555"/>
      <c r="F11" s="296"/>
      <c r="G11" s="296"/>
      <c r="H11" s="296"/>
      <c r="I11" s="296"/>
      <c r="J11" s="296"/>
      <c r="K11" s="296"/>
      <c r="L11" s="296"/>
      <c r="M11" s="296"/>
      <c r="N11" s="296"/>
      <c r="P11" s="261"/>
      <c r="R11" s="15">
        <v>7669.53</v>
      </c>
    </row>
    <row r="12" spans="2:18" ht="30" customHeight="1">
      <c r="B12" s="16" t="s">
        <v>274</v>
      </c>
      <c r="C12" s="3" t="s">
        <v>32</v>
      </c>
      <c r="D12" s="8" t="s">
        <v>579</v>
      </c>
      <c r="E12" s="320">
        <f>4592/2</f>
        <v>2296</v>
      </c>
      <c r="F12" s="9">
        <v>2388</v>
      </c>
      <c r="G12" s="9">
        <v>0</v>
      </c>
      <c r="H12" s="9">
        <f>F12</f>
        <v>2388</v>
      </c>
      <c r="I12" s="11">
        <v>24.04</v>
      </c>
      <c r="J12" s="11"/>
      <c r="K12" s="9"/>
      <c r="L12" s="9">
        <f>K12</f>
        <v>0</v>
      </c>
      <c r="M12" s="9">
        <f>H12+I12-L12-J12</f>
        <v>2412.04</v>
      </c>
      <c r="N12" s="3"/>
      <c r="P12" s="261"/>
      <c r="R12" s="15">
        <v>7335.92</v>
      </c>
    </row>
    <row r="13" spans="2:18" ht="30" customHeight="1">
      <c r="B13" s="16" t="s">
        <v>275</v>
      </c>
      <c r="C13" s="251" t="s">
        <v>567</v>
      </c>
      <c r="D13" s="8" t="s">
        <v>235</v>
      </c>
      <c r="E13" s="320">
        <f>15618/2</f>
        <v>7809</v>
      </c>
      <c r="F13" s="9">
        <v>8121</v>
      </c>
      <c r="G13" s="9">
        <v>0</v>
      </c>
      <c r="H13" s="9">
        <f>F13</f>
        <v>8121</v>
      </c>
      <c r="I13" s="9"/>
      <c r="J13" s="9"/>
      <c r="K13" s="9">
        <v>1014</v>
      </c>
      <c r="L13" s="9">
        <f>K13</f>
        <v>1014</v>
      </c>
      <c r="M13" s="9">
        <f>H13+I13-L13-J13</f>
        <v>7107</v>
      </c>
      <c r="N13" s="3"/>
      <c r="P13" s="261"/>
    </row>
    <row r="14" spans="2:18" s="21" customFormat="1" ht="18" customHeight="1" thickBot="1">
      <c r="B14" s="544" t="s">
        <v>9</v>
      </c>
      <c r="C14" s="561"/>
      <c r="D14" s="561"/>
      <c r="E14" s="562"/>
      <c r="F14" s="589">
        <f>SUM(F12:F13)</f>
        <v>10509</v>
      </c>
      <c r="G14" s="589">
        <f t="shared" ref="G14" si="3">SUM(G12:G13)</f>
        <v>0</v>
      </c>
      <c r="H14" s="589">
        <f t="shared" ref="H14:M14" si="4">SUM(H12:H13)</f>
        <v>10509</v>
      </c>
      <c r="I14" s="589">
        <f t="shared" si="4"/>
        <v>24.04</v>
      </c>
      <c r="J14" s="589">
        <f t="shared" si="4"/>
        <v>0</v>
      </c>
      <c r="K14" s="589">
        <f t="shared" si="4"/>
        <v>1014</v>
      </c>
      <c r="L14" s="589">
        <f t="shared" si="4"/>
        <v>1014</v>
      </c>
      <c r="M14" s="565">
        <f t="shared" si="4"/>
        <v>9519.0400000000009</v>
      </c>
      <c r="N14" s="587"/>
      <c r="O14" s="258">
        <f>H14+I14-L14</f>
        <v>9519.0400000000009</v>
      </c>
      <c r="P14" s="261">
        <f t="shared" si="0"/>
        <v>0</v>
      </c>
    </row>
    <row r="15" spans="2:18" ht="18" customHeight="1" thickTop="1">
      <c r="B15" s="557"/>
      <c r="C15" s="38"/>
      <c r="E15" s="323"/>
      <c r="F15" s="12"/>
      <c r="G15" s="12"/>
      <c r="H15" s="12"/>
      <c r="I15" s="13"/>
      <c r="J15" s="13"/>
      <c r="K15" s="12"/>
      <c r="L15" s="12"/>
      <c r="M15" s="14" t="s">
        <v>51</v>
      </c>
      <c r="O15" s="257"/>
      <c r="P15" s="261"/>
    </row>
    <row r="16" spans="2:18" ht="18" customHeight="1">
      <c r="B16" s="554" t="s">
        <v>12</v>
      </c>
      <c r="C16" s="558"/>
      <c r="D16" s="559"/>
      <c r="E16" s="553"/>
      <c r="F16" s="552"/>
      <c r="G16" s="552"/>
      <c r="H16" s="552"/>
      <c r="I16" s="552"/>
      <c r="J16" s="552"/>
      <c r="K16" s="552"/>
      <c r="L16" s="552"/>
      <c r="M16" s="552"/>
      <c r="N16" s="32"/>
      <c r="P16" s="261"/>
    </row>
    <row r="17" spans="2:16" ht="30" customHeight="1">
      <c r="B17" s="16" t="s">
        <v>276</v>
      </c>
      <c r="C17" s="3" t="s">
        <v>46</v>
      </c>
      <c r="D17" s="546" t="s">
        <v>236</v>
      </c>
      <c r="E17" s="547">
        <f>10942/2</f>
        <v>5471</v>
      </c>
      <c r="F17" s="548">
        <v>5690</v>
      </c>
      <c r="G17" s="548">
        <v>0</v>
      </c>
      <c r="H17" s="548">
        <f>F17</f>
        <v>5690</v>
      </c>
      <c r="I17" s="548"/>
      <c r="J17" s="548"/>
      <c r="K17" s="548">
        <v>529</v>
      </c>
      <c r="L17" s="548">
        <f>K17</f>
        <v>529</v>
      </c>
      <c r="M17" s="548">
        <f>H17+I17-L17-J17</f>
        <v>5161</v>
      </c>
      <c r="N17" s="296"/>
      <c r="P17" s="261"/>
    </row>
    <row r="18" spans="2:16" s="21" customFormat="1" ht="18" customHeight="1" thickBot="1">
      <c r="B18" s="20" t="s">
        <v>9</v>
      </c>
      <c r="C18" s="561"/>
      <c r="D18" s="561"/>
      <c r="E18" s="562"/>
      <c r="F18" s="589">
        <f>SUM(F17)</f>
        <v>5690</v>
      </c>
      <c r="G18" s="589">
        <f t="shared" ref="G18:L18" si="5">SUM(G17)</f>
        <v>0</v>
      </c>
      <c r="H18" s="589">
        <f>SUM(H17)</f>
        <v>5690</v>
      </c>
      <c r="I18" s="589">
        <f t="shared" si="5"/>
        <v>0</v>
      </c>
      <c r="J18" s="589">
        <f>SUM(J17)</f>
        <v>0</v>
      </c>
      <c r="K18" s="589">
        <f>SUM(K17)</f>
        <v>529</v>
      </c>
      <c r="L18" s="589">
        <f t="shared" si="5"/>
        <v>529</v>
      </c>
      <c r="M18" s="565">
        <f>SUM(M17)</f>
        <v>5161</v>
      </c>
      <c r="N18" s="587"/>
      <c r="O18" s="258">
        <f>H18+I18-L18</f>
        <v>5161</v>
      </c>
      <c r="P18" s="261">
        <f t="shared" si="0"/>
        <v>0</v>
      </c>
    </row>
    <row r="19" spans="2:16" ht="18" customHeight="1" thickTop="1">
      <c r="C19" s="152"/>
      <c r="E19" s="323"/>
      <c r="F19" s="12"/>
      <c r="G19" s="12"/>
      <c r="H19" s="12"/>
      <c r="I19" s="12"/>
      <c r="J19" s="12"/>
      <c r="K19" s="12"/>
      <c r="L19" s="12"/>
      <c r="M19" s="14" t="s">
        <v>51</v>
      </c>
      <c r="P19" s="261"/>
    </row>
    <row r="20" spans="2:16" ht="18" customHeight="1">
      <c r="E20" s="323"/>
      <c r="J20" s="123"/>
      <c r="P20" s="261"/>
    </row>
    <row r="21" spans="2:16" ht="18" customHeight="1">
      <c r="B21" s="551" t="s">
        <v>13</v>
      </c>
      <c r="C21" s="552"/>
      <c r="D21" s="552"/>
      <c r="E21" s="553"/>
      <c r="F21" s="552"/>
      <c r="G21" s="552"/>
      <c r="H21" s="552"/>
      <c r="I21" s="552"/>
      <c r="J21" s="552"/>
      <c r="K21" s="552"/>
      <c r="L21" s="552"/>
      <c r="M21" s="552"/>
      <c r="N21" s="552"/>
      <c r="P21" s="261"/>
    </row>
    <row r="22" spans="2:16" ht="30" customHeight="1">
      <c r="B22" s="545"/>
      <c r="C22" s="296"/>
      <c r="D22" s="546" t="s">
        <v>233</v>
      </c>
      <c r="E22" s="547"/>
      <c r="F22" s="548"/>
      <c r="G22" s="548">
        <v>0</v>
      </c>
      <c r="H22" s="548"/>
      <c r="I22" s="549"/>
      <c r="J22" s="550"/>
      <c r="K22" s="548"/>
      <c r="L22" s="548">
        <f>K22</f>
        <v>0</v>
      </c>
      <c r="M22" s="548">
        <f>H22+I22-L22-J22</f>
        <v>0</v>
      </c>
      <c r="N22" s="296"/>
      <c r="P22" s="261"/>
    </row>
    <row r="23" spans="2:16" ht="30" customHeight="1">
      <c r="B23" s="16" t="s">
        <v>277</v>
      </c>
      <c r="C23" s="3" t="s">
        <v>453</v>
      </c>
      <c r="D23" s="8" t="s">
        <v>237</v>
      </c>
      <c r="E23" s="320">
        <f>15618/2</f>
        <v>7809</v>
      </c>
      <c r="F23" s="9">
        <v>8121</v>
      </c>
      <c r="G23" s="9">
        <v>0</v>
      </c>
      <c r="H23" s="9">
        <f>F23</f>
        <v>8121</v>
      </c>
      <c r="I23" s="9"/>
      <c r="J23" s="9"/>
      <c r="K23" s="9">
        <v>1014</v>
      </c>
      <c r="L23" s="9">
        <f t="shared" ref="L23" si="6">K23</f>
        <v>1014</v>
      </c>
      <c r="M23" s="9">
        <f>H23+I23-L23-J23</f>
        <v>7107</v>
      </c>
      <c r="N23" s="3"/>
      <c r="P23" s="261"/>
    </row>
    <row r="24" spans="2:16" s="21" customFormat="1" ht="18" customHeight="1" thickBot="1">
      <c r="B24" s="586" t="s">
        <v>9</v>
      </c>
      <c r="C24" s="587"/>
      <c r="D24" s="587"/>
      <c r="E24" s="588"/>
      <c r="F24" s="589">
        <f>SUM(F22:F23)</f>
        <v>8121</v>
      </c>
      <c r="G24" s="589">
        <f t="shared" ref="G24:M24" si="7">SUM(G22:G23)</f>
        <v>0</v>
      </c>
      <c r="H24" s="589">
        <f t="shared" si="7"/>
        <v>8121</v>
      </c>
      <c r="I24" s="589">
        <f t="shared" si="7"/>
        <v>0</v>
      </c>
      <c r="J24" s="589">
        <f t="shared" si="7"/>
        <v>0</v>
      </c>
      <c r="K24" s="589">
        <f t="shared" si="7"/>
        <v>1014</v>
      </c>
      <c r="L24" s="589">
        <f t="shared" si="7"/>
        <v>1014</v>
      </c>
      <c r="M24" s="565">
        <f t="shared" si="7"/>
        <v>7107</v>
      </c>
      <c r="N24" s="587"/>
      <c r="O24" s="258">
        <f>H24+I24-L24-J24</f>
        <v>7107</v>
      </c>
      <c r="P24" s="261">
        <f t="shared" si="0"/>
        <v>0</v>
      </c>
    </row>
    <row r="25" spans="2:16" ht="18" customHeight="1" thickTop="1">
      <c r="E25" s="323"/>
      <c r="F25" s="12"/>
      <c r="G25" s="12"/>
      <c r="H25" s="12"/>
      <c r="I25" s="13"/>
      <c r="J25" s="13"/>
      <c r="K25" s="12"/>
      <c r="L25" s="12"/>
      <c r="M25" s="14" t="s">
        <v>51</v>
      </c>
      <c r="P25" s="261"/>
    </row>
    <row r="26" spans="2:16" ht="18" customHeight="1">
      <c r="C26" s="631"/>
      <c r="D26" s="631"/>
      <c r="E26" s="631"/>
      <c r="F26" s="624"/>
      <c r="G26" s="624"/>
      <c r="H26" s="624"/>
      <c r="I26" s="624"/>
      <c r="J26" s="152"/>
      <c r="P26" s="261"/>
    </row>
    <row r="27" spans="2:16" ht="18" customHeight="1">
      <c r="B27" s="632" t="s">
        <v>215</v>
      </c>
      <c r="C27" s="633"/>
      <c r="D27" s="633"/>
      <c r="E27" s="633"/>
      <c r="F27" s="633"/>
      <c r="G27" s="633"/>
      <c r="H27" s="633"/>
      <c r="I27" s="633"/>
      <c r="J27" s="633"/>
      <c r="K27" s="633"/>
      <c r="L27" s="633"/>
      <c r="M27" s="633"/>
      <c r="N27" s="634"/>
      <c r="P27" s="261"/>
    </row>
    <row r="28" spans="2:16" ht="18" customHeight="1">
      <c r="B28" s="618" t="s">
        <v>787</v>
      </c>
      <c r="C28" s="619"/>
      <c r="D28" s="619"/>
      <c r="E28" s="619"/>
      <c r="F28" s="619"/>
      <c r="G28" s="619"/>
      <c r="H28" s="619"/>
      <c r="I28" s="619"/>
      <c r="J28" s="619"/>
      <c r="K28" s="619"/>
      <c r="L28" s="619"/>
      <c r="M28" s="619"/>
      <c r="N28" s="620"/>
      <c r="P28" s="261"/>
    </row>
    <row r="29" spans="2:16" ht="18" customHeight="1">
      <c r="B29" s="24"/>
      <c r="C29" s="25" t="s">
        <v>0</v>
      </c>
      <c r="D29" s="25"/>
      <c r="E29" s="321"/>
      <c r="N29" s="26"/>
      <c r="P29" s="261"/>
    </row>
    <row r="30" spans="2:16" ht="18" customHeight="1">
      <c r="B30" s="30" t="s">
        <v>585</v>
      </c>
      <c r="C30" s="25"/>
      <c r="D30" s="25"/>
      <c r="E30" s="321"/>
      <c r="N30" s="26"/>
      <c r="P30" s="261"/>
    </row>
    <row r="31" spans="2:16" ht="34.5" thickBot="1">
      <c r="B31" s="537" t="s">
        <v>1</v>
      </c>
      <c r="C31" s="478" t="s">
        <v>2</v>
      </c>
      <c r="D31" s="478"/>
      <c r="E31" s="479"/>
      <c r="F31" s="478" t="s">
        <v>3</v>
      </c>
      <c r="G31" s="478" t="s">
        <v>4</v>
      </c>
      <c r="H31" s="478" t="s">
        <v>5</v>
      </c>
      <c r="I31" s="478" t="s">
        <v>48</v>
      </c>
      <c r="J31" s="478" t="s">
        <v>605</v>
      </c>
      <c r="K31" s="478" t="s">
        <v>47</v>
      </c>
      <c r="L31" s="478" t="s">
        <v>6</v>
      </c>
      <c r="M31" s="478" t="s">
        <v>7</v>
      </c>
      <c r="N31" s="480" t="s">
        <v>29</v>
      </c>
      <c r="P31" s="261"/>
    </row>
    <row r="32" spans="2:16" ht="30" customHeight="1" thickTop="1">
      <c r="B32" s="16" t="s">
        <v>278</v>
      </c>
      <c r="C32" s="263" t="s">
        <v>469</v>
      </c>
      <c r="D32" s="8" t="s">
        <v>233</v>
      </c>
      <c r="E32" s="320">
        <f>7370/2</f>
        <v>3685</v>
      </c>
      <c r="F32" s="9">
        <v>3832</v>
      </c>
      <c r="G32" s="311">
        <v>0</v>
      </c>
      <c r="H32" s="9">
        <f>F32</f>
        <v>3832</v>
      </c>
      <c r="I32" s="11"/>
      <c r="J32" s="11"/>
      <c r="K32" s="9">
        <v>280</v>
      </c>
      <c r="L32" s="9">
        <f>K32</f>
        <v>280</v>
      </c>
      <c r="M32" s="9">
        <f>H32+I32-L32-J32</f>
        <v>3552</v>
      </c>
      <c r="N32" s="27"/>
      <c r="P32" s="261"/>
    </row>
    <row r="33" spans="2:16" ht="30" customHeight="1">
      <c r="B33" s="16" t="s">
        <v>279</v>
      </c>
      <c r="C33" s="3" t="s">
        <v>631</v>
      </c>
      <c r="D33" s="8" t="s">
        <v>238</v>
      </c>
      <c r="E33" s="320">
        <f>10384/2</f>
        <v>5192</v>
      </c>
      <c r="F33" s="9">
        <v>5400</v>
      </c>
      <c r="G33" s="9">
        <v>0</v>
      </c>
      <c r="H33" s="9">
        <f>F33</f>
        <v>5400</v>
      </c>
      <c r="I33" s="9"/>
      <c r="J33" s="9"/>
      <c r="K33" s="9">
        <v>481</v>
      </c>
      <c r="L33" s="9">
        <f>K33</f>
        <v>481</v>
      </c>
      <c r="M33" s="9">
        <f>H33-L33</f>
        <v>4919</v>
      </c>
      <c r="N33" s="26"/>
      <c r="O33" s="458"/>
      <c r="P33" s="459"/>
    </row>
    <row r="34" spans="2:16" s="21" customFormat="1" ht="18" customHeight="1" thickBot="1">
      <c r="B34" s="28" t="s">
        <v>9</v>
      </c>
      <c r="C34" s="29"/>
      <c r="D34" s="29"/>
      <c r="E34" s="322"/>
      <c r="F34" s="533">
        <f>SUM(F32:F33)</f>
        <v>9232</v>
      </c>
      <c r="G34" s="533">
        <f t="shared" ref="G34:L34" si="8">SUM(G32:G33)</f>
        <v>0</v>
      </c>
      <c r="H34" s="533">
        <f>SUM(H32:H33)</f>
        <v>9232</v>
      </c>
      <c r="I34" s="533">
        <f t="shared" si="8"/>
        <v>0</v>
      </c>
      <c r="J34" s="533">
        <f>SUM(J32:J33)</f>
        <v>0</v>
      </c>
      <c r="K34" s="533">
        <f>SUM(K32:K33)</f>
        <v>761</v>
      </c>
      <c r="L34" s="533">
        <f t="shared" si="8"/>
        <v>761</v>
      </c>
      <c r="M34" s="212">
        <f>SUM(M32:M33)</f>
        <v>8471</v>
      </c>
      <c r="N34" s="578"/>
      <c r="O34" s="258">
        <f>H34+I34-L34</f>
        <v>8471</v>
      </c>
      <c r="P34" s="261">
        <f t="shared" si="0"/>
        <v>0</v>
      </c>
    </row>
    <row r="35" spans="2:16" ht="18" customHeight="1" thickTop="1">
      <c r="B35" s="24"/>
      <c r="E35" s="323"/>
      <c r="F35" s="12"/>
      <c r="G35" s="12"/>
      <c r="H35" s="12"/>
      <c r="I35" s="13"/>
      <c r="J35" s="13"/>
      <c r="K35" s="12"/>
      <c r="L35" s="12"/>
      <c r="M35" s="14" t="s">
        <v>51</v>
      </c>
      <c r="N35" s="26"/>
      <c r="P35" s="261"/>
    </row>
    <row r="36" spans="2:16" ht="18" customHeight="1">
      <c r="B36" s="30" t="s">
        <v>14</v>
      </c>
      <c r="E36" s="323"/>
      <c r="N36" s="26"/>
      <c r="P36" s="261"/>
    </row>
    <row r="37" spans="2:16" ht="30" customHeight="1">
      <c r="B37" s="16" t="s">
        <v>280</v>
      </c>
      <c r="C37" s="3" t="s">
        <v>219</v>
      </c>
      <c r="D37" s="8" t="s">
        <v>239</v>
      </c>
      <c r="E37" s="320">
        <f>5948/2</f>
        <v>2974</v>
      </c>
      <c r="F37" s="9">
        <v>3093</v>
      </c>
      <c r="G37" s="9">
        <v>0</v>
      </c>
      <c r="H37" s="9">
        <f>F37</f>
        <v>3093</v>
      </c>
      <c r="I37" s="11"/>
      <c r="J37" s="11"/>
      <c r="K37" s="9">
        <v>52</v>
      </c>
      <c r="L37" s="9">
        <f>K37</f>
        <v>52</v>
      </c>
      <c r="M37" s="9">
        <f>H37+I37-L37-J37</f>
        <v>3041</v>
      </c>
      <c r="N37" s="26"/>
      <c r="P37" s="261"/>
    </row>
    <row r="38" spans="2:16" ht="30" customHeight="1">
      <c r="B38" s="16" t="s">
        <v>281</v>
      </c>
      <c r="C38" s="3" t="s">
        <v>633</v>
      </c>
      <c r="D38" s="8" t="s">
        <v>240</v>
      </c>
      <c r="E38" s="320">
        <f>10384/2</f>
        <v>5192</v>
      </c>
      <c r="F38" s="9">
        <v>5400</v>
      </c>
      <c r="G38" s="9">
        <v>0</v>
      </c>
      <c r="H38" s="9">
        <f>F38</f>
        <v>5400</v>
      </c>
      <c r="I38" s="9"/>
      <c r="J38" s="9"/>
      <c r="K38" s="9">
        <v>481</v>
      </c>
      <c r="L38" s="9">
        <f>K38</f>
        <v>481</v>
      </c>
      <c r="M38" s="9">
        <f>H38+I38-L38-J38</f>
        <v>4919</v>
      </c>
      <c r="N38" s="31"/>
      <c r="P38" s="261"/>
    </row>
    <row r="39" spans="2:16" s="21" customFormat="1" ht="18" customHeight="1" thickBot="1">
      <c r="B39" s="28" t="s">
        <v>9</v>
      </c>
      <c r="C39" s="29"/>
      <c r="D39" s="29"/>
      <c r="E39" s="322"/>
      <c r="F39" s="533">
        <f>SUM(F37:F38)</f>
        <v>8493</v>
      </c>
      <c r="G39" s="533">
        <f t="shared" ref="G39:L39" si="9">SUM(G37:G38)</f>
        <v>0</v>
      </c>
      <c r="H39" s="533">
        <f>SUM(H37:H38)</f>
        <v>8493</v>
      </c>
      <c r="I39" s="533">
        <f t="shared" si="9"/>
        <v>0</v>
      </c>
      <c r="J39" s="533">
        <f>SUM(J37:J38)</f>
        <v>0</v>
      </c>
      <c r="K39" s="533">
        <f>SUM(K37:K38)</f>
        <v>533</v>
      </c>
      <c r="L39" s="533">
        <f t="shared" si="9"/>
        <v>533</v>
      </c>
      <c r="M39" s="212">
        <f>SUM(M37:M38)</f>
        <v>7960</v>
      </c>
      <c r="N39" s="578"/>
      <c r="O39" s="258">
        <f>H39+I39-L39</f>
        <v>7960</v>
      </c>
      <c r="P39" s="261">
        <f t="shared" si="0"/>
        <v>0</v>
      </c>
    </row>
    <row r="40" spans="2:16" ht="18" customHeight="1" thickTop="1">
      <c r="B40" s="24"/>
      <c r="E40" s="323"/>
      <c r="F40" s="12"/>
      <c r="G40" s="12"/>
      <c r="H40" s="12"/>
      <c r="I40" s="13"/>
      <c r="J40" s="13"/>
      <c r="K40" s="12"/>
      <c r="L40" s="12"/>
      <c r="M40" s="14" t="s">
        <v>51</v>
      </c>
      <c r="N40" s="26"/>
      <c r="P40" s="261"/>
    </row>
    <row r="41" spans="2:16" ht="18" customHeight="1">
      <c r="B41" s="24"/>
      <c r="E41" s="323"/>
      <c r="N41" s="26"/>
      <c r="P41" s="261"/>
    </row>
    <row r="42" spans="2:16" ht="18" customHeight="1">
      <c r="B42" s="30" t="s">
        <v>15</v>
      </c>
      <c r="E42" s="323"/>
      <c r="N42" s="26"/>
      <c r="P42" s="261"/>
    </row>
    <row r="43" spans="2:16" ht="30" customHeight="1">
      <c r="B43" s="16" t="s">
        <v>367</v>
      </c>
      <c r="C43" s="3" t="s">
        <v>575</v>
      </c>
      <c r="D43" s="8" t="s">
        <v>241</v>
      </c>
      <c r="E43" s="320">
        <f>17430/2</f>
        <v>8715</v>
      </c>
      <c r="F43" s="9">
        <v>9063</v>
      </c>
      <c r="G43" s="9">
        <v>0</v>
      </c>
      <c r="H43" s="9">
        <f>F43</f>
        <v>9063</v>
      </c>
      <c r="I43" s="9"/>
      <c r="J43" s="9"/>
      <c r="K43" s="9">
        <v>1215</v>
      </c>
      <c r="L43" s="9">
        <f t="shared" ref="L43" si="10">K43</f>
        <v>1215</v>
      </c>
      <c r="M43" s="9">
        <f>H43+I43-L43-J43</f>
        <v>7848</v>
      </c>
      <c r="N43" s="296"/>
      <c r="O43" s="182"/>
      <c r="P43" s="261"/>
    </row>
    <row r="44" spans="2:16" ht="30" customHeight="1">
      <c r="B44" s="16" t="s">
        <v>368</v>
      </c>
      <c r="C44" s="3" t="s">
        <v>629</v>
      </c>
      <c r="D44" s="8" t="s">
        <v>250</v>
      </c>
      <c r="E44" s="320">
        <f>12210/2</f>
        <v>6105</v>
      </c>
      <c r="F44" s="9">
        <v>6349</v>
      </c>
      <c r="G44" s="9">
        <v>0</v>
      </c>
      <c r="H44" s="9">
        <f>F44</f>
        <v>6349</v>
      </c>
      <c r="I44" s="9"/>
      <c r="J44" s="9"/>
      <c r="K44" s="9">
        <v>647</v>
      </c>
      <c r="L44" s="9">
        <f>K44</f>
        <v>647</v>
      </c>
      <c r="M44" s="9">
        <f>H44+I44-L44-J44</f>
        <v>5702</v>
      </c>
      <c r="N44" s="26"/>
      <c r="O44" s="182"/>
      <c r="P44" s="261"/>
    </row>
    <row r="45" spans="2:16" ht="30" customHeight="1">
      <c r="B45" s="16" t="s">
        <v>369</v>
      </c>
      <c r="C45" s="219" t="s">
        <v>614</v>
      </c>
      <c r="D45" s="8" t="s">
        <v>233</v>
      </c>
      <c r="E45" s="320">
        <f>7414/2</f>
        <v>3707</v>
      </c>
      <c r="F45" s="9">
        <v>3855</v>
      </c>
      <c r="G45" s="9">
        <v>0</v>
      </c>
      <c r="H45" s="9">
        <f>F45</f>
        <v>3855</v>
      </c>
      <c r="I45" s="9"/>
      <c r="J45" s="9"/>
      <c r="K45" s="9">
        <v>282</v>
      </c>
      <c r="L45" s="9">
        <f t="shared" ref="L45:L46" si="11">K45</f>
        <v>282</v>
      </c>
      <c r="M45" s="9">
        <f>H45-L45</f>
        <v>3573</v>
      </c>
      <c r="N45" s="32"/>
      <c r="O45" s="182"/>
      <c r="P45" s="261"/>
    </row>
    <row r="46" spans="2:16" ht="30" customHeight="1">
      <c r="B46" s="16" t="s">
        <v>370</v>
      </c>
      <c r="C46" s="3" t="s">
        <v>630</v>
      </c>
      <c r="D46" s="8" t="s">
        <v>233</v>
      </c>
      <c r="E46" s="320">
        <f>7414/2</f>
        <v>3707</v>
      </c>
      <c r="F46" s="9">
        <v>3855</v>
      </c>
      <c r="G46" s="9">
        <v>0</v>
      </c>
      <c r="H46" s="9">
        <f>F46</f>
        <v>3855</v>
      </c>
      <c r="I46" s="11"/>
      <c r="J46" s="11"/>
      <c r="K46" s="9">
        <v>282</v>
      </c>
      <c r="L46" s="9">
        <f t="shared" si="11"/>
        <v>282</v>
      </c>
      <c r="M46" s="9">
        <f>H46+I46-L46-J46</f>
        <v>3573</v>
      </c>
      <c r="N46" s="26"/>
      <c r="O46" s="182"/>
      <c r="P46" s="261"/>
    </row>
    <row r="47" spans="2:16" s="21" customFormat="1" ht="18" customHeight="1" thickBot="1">
      <c r="B47" s="28" t="s">
        <v>9</v>
      </c>
      <c r="C47" s="29"/>
      <c r="D47" s="29"/>
      <c r="E47" s="322"/>
      <c r="F47" s="533">
        <f>SUM(F43:F46)</f>
        <v>23122</v>
      </c>
      <c r="G47" s="533">
        <f t="shared" ref="G47:I47" si="12">SUM(G43:G46)</f>
        <v>0</v>
      </c>
      <c r="H47" s="533">
        <f>SUM(H43:H46)</f>
        <v>23122</v>
      </c>
      <c r="I47" s="533">
        <f t="shared" si="12"/>
        <v>0</v>
      </c>
      <c r="J47" s="533">
        <f>SUM(J43:J46)</f>
        <v>0</v>
      </c>
      <c r="K47" s="533">
        <f>SUM(K43:K46)</f>
        <v>2426</v>
      </c>
      <c r="L47" s="533">
        <f>SUM(L43:L46)</f>
        <v>2426</v>
      </c>
      <c r="M47" s="212">
        <f>SUM(M43:M46)</f>
        <v>20696</v>
      </c>
      <c r="N47" s="578"/>
      <c r="O47" s="259">
        <f>H47+I47-L47-J47</f>
        <v>20696</v>
      </c>
      <c r="P47" s="261">
        <f t="shared" si="0"/>
        <v>0</v>
      </c>
    </row>
    <row r="48" spans="2:16" ht="18" customHeight="1" thickTop="1">
      <c r="B48" s="24"/>
      <c r="E48" s="323"/>
      <c r="F48" s="12"/>
      <c r="G48" s="12"/>
      <c r="H48" s="12"/>
      <c r="I48" s="13"/>
      <c r="J48" s="13"/>
      <c r="K48" s="12"/>
      <c r="L48" s="12"/>
      <c r="M48" s="14" t="s">
        <v>51</v>
      </c>
      <c r="N48" s="26"/>
      <c r="P48" s="261"/>
    </row>
    <row r="49" spans="2:16" ht="18" customHeight="1">
      <c r="B49" s="24"/>
      <c r="E49" s="323"/>
      <c r="N49" s="26"/>
      <c r="P49" s="261"/>
    </row>
    <row r="50" spans="2:16" ht="18" customHeight="1">
      <c r="B50" s="30" t="s">
        <v>16</v>
      </c>
      <c r="E50" s="323"/>
      <c r="N50" s="26"/>
      <c r="P50" s="261"/>
    </row>
    <row r="51" spans="2:16" ht="30" customHeight="1">
      <c r="B51" s="16" t="s">
        <v>371</v>
      </c>
      <c r="C51" s="3" t="s">
        <v>36</v>
      </c>
      <c r="D51" s="8" t="s">
        <v>243</v>
      </c>
      <c r="E51" s="320">
        <f>8374/2</f>
        <v>4187</v>
      </c>
      <c r="F51" s="9">
        <v>4354</v>
      </c>
      <c r="G51" s="9">
        <v>0</v>
      </c>
      <c r="H51" s="9">
        <f>F51</f>
        <v>4354</v>
      </c>
      <c r="I51" s="9"/>
      <c r="J51" s="9"/>
      <c r="K51" s="9">
        <v>337</v>
      </c>
      <c r="L51" s="9">
        <f>K51</f>
        <v>337</v>
      </c>
      <c r="M51" s="9">
        <f>H51+I51-L51-J51</f>
        <v>4017</v>
      </c>
      <c r="N51" s="33"/>
      <c r="P51" s="261"/>
    </row>
    <row r="52" spans="2:16" ht="30" customHeight="1">
      <c r="B52" s="16" t="s">
        <v>372</v>
      </c>
      <c r="C52" s="3" t="s">
        <v>649</v>
      </c>
      <c r="D52" s="8" t="s">
        <v>750</v>
      </c>
      <c r="E52" s="320">
        <f>10384/2</f>
        <v>5192</v>
      </c>
      <c r="F52" s="9">
        <v>5900</v>
      </c>
      <c r="G52" s="9">
        <v>0</v>
      </c>
      <c r="H52" s="9">
        <f>F52</f>
        <v>5900</v>
      </c>
      <c r="I52" s="9"/>
      <c r="J52" s="426">
        <v>1500</v>
      </c>
      <c r="K52" s="9">
        <v>567</v>
      </c>
      <c r="L52" s="9">
        <f>J52+K52</f>
        <v>2067</v>
      </c>
      <c r="M52" s="9">
        <f>H52-L52</f>
        <v>3833</v>
      </c>
      <c r="N52" s="34"/>
      <c r="P52" s="261"/>
    </row>
    <row r="53" spans="2:16" s="21" customFormat="1" ht="18" customHeight="1" thickBot="1">
      <c r="B53" s="28" t="s">
        <v>9</v>
      </c>
      <c r="C53" s="29"/>
      <c r="D53" s="29"/>
      <c r="E53" s="322"/>
      <c r="F53" s="533">
        <f>SUM(F51:F52)</f>
        <v>10254</v>
      </c>
      <c r="G53" s="533">
        <f t="shared" ref="G53:L53" si="13">SUM(G51:G52)</f>
        <v>0</v>
      </c>
      <c r="H53" s="533">
        <f>SUM(H51:H52)</f>
        <v>10254</v>
      </c>
      <c r="I53" s="533">
        <f t="shared" si="13"/>
        <v>0</v>
      </c>
      <c r="J53" s="533">
        <f>SUM(J51:J52)</f>
        <v>1500</v>
      </c>
      <c r="K53" s="533">
        <f>SUM(K51:K52)</f>
        <v>904</v>
      </c>
      <c r="L53" s="533">
        <f t="shared" si="13"/>
        <v>2404</v>
      </c>
      <c r="M53" s="212">
        <f>SUM(M51:M52)</f>
        <v>7850</v>
      </c>
      <c r="N53" s="578"/>
      <c r="O53" s="258">
        <f>H53+I53-L53</f>
        <v>7850</v>
      </c>
      <c r="P53" s="261">
        <f t="shared" si="0"/>
        <v>0</v>
      </c>
    </row>
    <row r="54" spans="2:16" ht="18" customHeight="1" thickTop="1">
      <c r="E54" s="324"/>
      <c r="F54" s="12"/>
      <c r="G54" s="12"/>
      <c r="H54" s="12"/>
      <c r="I54" s="12"/>
      <c r="J54" s="12"/>
      <c r="K54" s="12"/>
      <c r="L54" s="12"/>
      <c r="M54" s="14" t="s">
        <v>51</v>
      </c>
      <c r="N54" s="26"/>
      <c r="P54" s="261"/>
    </row>
    <row r="55" spans="2:16" ht="18" customHeight="1">
      <c r="E55" s="324"/>
      <c r="F55" s="12"/>
      <c r="G55" s="12"/>
      <c r="H55" s="12"/>
      <c r="I55" s="12"/>
      <c r="J55" s="12"/>
      <c r="K55" s="12"/>
      <c r="L55" s="12"/>
      <c r="M55" s="14"/>
      <c r="N55" s="26"/>
      <c r="P55" s="261"/>
    </row>
    <row r="56" spans="2:16" ht="18" customHeight="1">
      <c r="B56" s="615" t="s">
        <v>215</v>
      </c>
      <c r="C56" s="616"/>
      <c r="D56" s="616"/>
      <c r="E56" s="616"/>
      <c r="F56" s="616"/>
      <c r="G56" s="616"/>
      <c r="H56" s="616"/>
      <c r="I56" s="616"/>
      <c r="J56" s="616"/>
      <c r="K56" s="616"/>
      <c r="L56" s="616"/>
      <c r="M56" s="616"/>
      <c r="N56" s="617"/>
      <c r="P56" s="261"/>
    </row>
    <row r="57" spans="2:16" ht="18" customHeight="1">
      <c r="B57" s="618" t="s">
        <v>788</v>
      </c>
      <c r="C57" s="619"/>
      <c r="D57" s="619"/>
      <c r="E57" s="619"/>
      <c r="F57" s="619"/>
      <c r="G57" s="619"/>
      <c r="H57" s="619"/>
      <c r="I57" s="619"/>
      <c r="J57" s="619"/>
      <c r="K57" s="619"/>
      <c r="L57" s="619"/>
      <c r="M57" s="619"/>
      <c r="N57" s="620"/>
      <c r="P57" s="261"/>
    </row>
    <row r="58" spans="2:16" ht="18" customHeight="1">
      <c r="B58" s="24"/>
      <c r="C58" s="25" t="s">
        <v>0</v>
      </c>
      <c r="D58" s="25"/>
      <c r="E58" s="321"/>
      <c r="N58" s="26"/>
      <c r="P58" s="261"/>
    </row>
    <row r="59" spans="2:16" ht="30" customHeight="1" thickBot="1">
      <c r="B59" s="537" t="s">
        <v>1</v>
      </c>
      <c r="C59" s="478" t="s">
        <v>2</v>
      </c>
      <c r="D59" s="478"/>
      <c r="E59" s="479"/>
      <c r="F59" s="478" t="s">
        <v>3</v>
      </c>
      <c r="G59" s="478" t="s">
        <v>4</v>
      </c>
      <c r="H59" s="478" t="s">
        <v>5</v>
      </c>
      <c r="I59" s="478" t="s">
        <v>48</v>
      </c>
      <c r="J59" s="478"/>
      <c r="K59" s="478" t="s">
        <v>47</v>
      </c>
      <c r="L59" s="478" t="s">
        <v>6</v>
      </c>
      <c r="M59" s="478" t="s">
        <v>7</v>
      </c>
      <c r="N59" s="480" t="s">
        <v>29</v>
      </c>
      <c r="P59" s="261"/>
    </row>
    <row r="60" spans="2:16" ht="18" customHeight="1" thickTop="1">
      <c r="B60" s="30" t="s">
        <v>17</v>
      </c>
      <c r="E60" s="323"/>
      <c r="N60" s="26"/>
      <c r="P60" s="261"/>
    </row>
    <row r="61" spans="2:16" ht="18" customHeight="1">
      <c r="B61" s="16" t="s">
        <v>373</v>
      </c>
      <c r="C61" s="3" t="s">
        <v>573</v>
      </c>
      <c r="D61" s="8" t="s">
        <v>574</v>
      </c>
      <c r="E61" s="320">
        <f>10384/2</f>
        <v>5192</v>
      </c>
      <c r="F61" s="400">
        <v>5400</v>
      </c>
      <c r="G61" s="22"/>
      <c r="H61" s="22">
        <f>F61</f>
        <v>5400</v>
      </c>
      <c r="I61" s="22"/>
      <c r="J61" s="400"/>
      <c r="K61" s="400">
        <v>481</v>
      </c>
      <c r="L61" s="22">
        <f>J61+K61</f>
        <v>481</v>
      </c>
      <c r="M61" s="22">
        <f>H61-L61</f>
        <v>4919</v>
      </c>
      <c r="N61" s="26"/>
      <c r="P61" s="261"/>
    </row>
    <row r="62" spans="2:16" ht="24.95" customHeight="1">
      <c r="B62" s="16" t="s">
        <v>374</v>
      </c>
      <c r="C62" s="3" t="s">
        <v>37</v>
      </c>
      <c r="D62" s="8" t="s">
        <v>250</v>
      </c>
      <c r="E62" s="320">
        <f>7942/2</f>
        <v>3971</v>
      </c>
      <c r="F62" s="9">
        <v>4130</v>
      </c>
      <c r="G62" s="9">
        <v>0</v>
      </c>
      <c r="H62" s="9">
        <f>F62</f>
        <v>4130</v>
      </c>
      <c r="I62" s="9"/>
      <c r="J62" s="9"/>
      <c r="K62" s="9">
        <v>312</v>
      </c>
      <c r="L62" s="9">
        <f>K62</f>
        <v>312</v>
      </c>
      <c r="M62" s="9">
        <f>H62+I62-L62-J62</f>
        <v>3818</v>
      </c>
      <c r="N62" s="3"/>
      <c r="O62" s="312"/>
      <c r="P62" s="261"/>
    </row>
    <row r="63" spans="2:16" s="21" customFormat="1" ht="24.95" customHeight="1" thickBot="1">
      <c r="B63" s="28" t="s">
        <v>9</v>
      </c>
      <c r="C63" s="29"/>
      <c r="D63" s="29"/>
      <c r="E63" s="322"/>
      <c r="F63" s="533">
        <f>SUM(F62+F61)</f>
        <v>9530</v>
      </c>
      <c r="G63" s="533">
        <f t="shared" ref="G63:I63" si="14">SUM(G62)</f>
        <v>0</v>
      </c>
      <c r="H63" s="533">
        <f>SUM(H61:H62)</f>
        <v>9530</v>
      </c>
      <c r="I63" s="533">
        <f t="shared" si="14"/>
        <v>0</v>
      </c>
      <c r="J63" s="533">
        <f>SUM(J61:J62)</f>
        <v>0</v>
      </c>
      <c r="K63" s="533">
        <f>SUM(K61:K62)</f>
        <v>793</v>
      </c>
      <c r="L63" s="533">
        <f>SUM(L61:L62)</f>
        <v>793</v>
      </c>
      <c r="M63" s="212">
        <f>SUM(M61:M62)</f>
        <v>8737</v>
      </c>
      <c r="N63" s="578"/>
      <c r="O63" s="258">
        <f>H63+I63-L63-J63</f>
        <v>8737</v>
      </c>
      <c r="P63" s="261">
        <f t="shared" si="0"/>
        <v>0</v>
      </c>
    </row>
    <row r="64" spans="2:16" ht="24.95" customHeight="1" thickTop="1">
      <c r="B64" s="24"/>
      <c r="E64" s="323"/>
      <c r="F64" s="12"/>
      <c r="G64" s="12"/>
      <c r="H64" s="12"/>
      <c r="I64" s="12"/>
      <c r="J64" s="12"/>
      <c r="K64" s="12"/>
      <c r="L64" s="12"/>
      <c r="M64" s="14" t="s">
        <v>51</v>
      </c>
      <c r="N64" s="26"/>
      <c r="P64" s="261"/>
    </row>
    <row r="65" spans="2:16" ht="24.95" customHeight="1">
      <c r="B65" s="24"/>
      <c r="E65" s="323"/>
      <c r="N65" s="26"/>
      <c r="P65" s="261"/>
    </row>
    <row r="66" spans="2:16" ht="24.95" customHeight="1">
      <c r="B66" s="30" t="s">
        <v>18</v>
      </c>
      <c r="E66" s="323"/>
      <c r="N66" s="26"/>
      <c r="P66" s="261"/>
    </row>
    <row r="67" spans="2:16" ht="24.95" customHeight="1">
      <c r="B67" s="16" t="s">
        <v>375</v>
      </c>
      <c r="C67" s="3" t="s">
        <v>40</v>
      </c>
      <c r="D67" s="8" t="s">
        <v>245</v>
      </c>
      <c r="E67" s="320">
        <f>7942/2</f>
        <v>3971</v>
      </c>
      <c r="F67" s="9">
        <v>4130</v>
      </c>
      <c r="G67" s="9">
        <v>0</v>
      </c>
      <c r="H67" s="9">
        <f>F67</f>
        <v>4130</v>
      </c>
      <c r="I67" s="9"/>
      <c r="J67" s="9"/>
      <c r="K67" s="9">
        <v>312</v>
      </c>
      <c r="L67" s="9">
        <f>K67</f>
        <v>312</v>
      </c>
      <c r="M67" s="9">
        <f>H67+I67-L67-J67:J69</f>
        <v>3818</v>
      </c>
      <c r="N67" s="27"/>
      <c r="P67" s="261"/>
    </row>
    <row r="68" spans="2:16" ht="24.95" customHeight="1">
      <c r="B68" s="16" t="s">
        <v>376</v>
      </c>
      <c r="C68" s="3" t="s">
        <v>38</v>
      </c>
      <c r="D68" s="8" t="s">
        <v>246</v>
      </c>
      <c r="E68" s="320">
        <f>10942/2</f>
        <v>5471</v>
      </c>
      <c r="F68" s="9">
        <v>5690</v>
      </c>
      <c r="G68" s="9">
        <v>0</v>
      </c>
      <c r="H68" s="9">
        <f>F68</f>
        <v>5690</v>
      </c>
      <c r="I68" s="9"/>
      <c r="J68" s="9"/>
      <c r="K68" s="9">
        <v>529</v>
      </c>
      <c r="L68" s="9">
        <f t="shared" ref="L68" si="15">K68</f>
        <v>529</v>
      </c>
      <c r="M68" s="9">
        <f t="shared" ref="M68" si="16">H68+I68-L68-J68:J70</f>
        <v>5161</v>
      </c>
      <c r="N68" s="26"/>
      <c r="P68" s="261"/>
    </row>
    <row r="69" spans="2:16" ht="24.95" customHeight="1">
      <c r="B69" s="16" t="s">
        <v>377</v>
      </c>
      <c r="C69" s="3" t="s">
        <v>39</v>
      </c>
      <c r="D69" s="8" t="s">
        <v>247</v>
      </c>
      <c r="E69" s="320">
        <f>7940/2</f>
        <v>3970</v>
      </c>
      <c r="F69" s="9">
        <v>4129</v>
      </c>
      <c r="G69" s="9">
        <v>0</v>
      </c>
      <c r="H69" s="9">
        <f>F69</f>
        <v>4129</v>
      </c>
      <c r="I69" s="9"/>
      <c r="J69" s="9"/>
      <c r="K69" s="9">
        <v>312</v>
      </c>
      <c r="L69" s="9">
        <f>K69</f>
        <v>312</v>
      </c>
      <c r="M69" s="9">
        <f>H69+I69-L69-J69</f>
        <v>3817</v>
      </c>
      <c r="N69" s="32"/>
      <c r="P69" s="261"/>
    </row>
    <row r="70" spans="2:16" s="21" customFormat="1" ht="24.95" customHeight="1" thickBot="1">
      <c r="B70" s="28" t="s">
        <v>9</v>
      </c>
      <c r="C70" s="29"/>
      <c r="D70" s="29"/>
      <c r="E70" s="322"/>
      <c r="F70" s="533">
        <f>SUM(F67:F69)</f>
        <v>13949</v>
      </c>
      <c r="G70" s="533">
        <f t="shared" ref="G70:I70" si="17">SUM(G67:G69)</f>
        <v>0</v>
      </c>
      <c r="H70" s="533">
        <f>SUM(H67:H69)</f>
        <v>13949</v>
      </c>
      <c r="I70" s="533">
        <f t="shared" si="17"/>
        <v>0</v>
      </c>
      <c r="J70" s="533">
        <f>SUM(J67:J69)</f>
        <v>0</v>
      </c>
      <c r="K70" s="533">
        <f>SUM(K67:K69)</f>
        <v>1153</v>
      </c>
      <c r="L70" s="533">
        <f>SUM(L67:L69)</f>
        <v>1153</v>
      </c>
      <c r="M70" s="212">
        <f>SUM(M67:M69)</f>
        <v>12796</v>
      </c>
      <c r="N70" s="578"/>
      <c r="O70" s="258">
        <f>H70+I70-L70</f>
        <v>12796</v>
      </c>
      <c r="P70" s="261">
        <f t="shared" ref="P70:P122" si="18">M70-O70</f>
        <v>0</v>
      </c>
    </row>
    <row r="71" spans="2:16" ht="24.95" customHeight="1" thickTop="1">
      <c r="B71" s="24"/>
      <c r="E71" s="323"/>
      <c r="F71" s="12"/>
      <c r="G71" s="12"/>
      <c r="H71" s="12"/>
      <c r="I71" s="12"/>
      <c r="J71" s="12"/>
      <c r="K71" s="12"/>
      <c r="L71" s="12"/>
      <c r="M71" s="14" t="s">
        <v>51</v>
      </c>
      <c r="N71" s="26"/>
      <c r="P71" s="261"/>
    </row>
    <row r="72" spans="2:16" ht="24.95" customHeight="1">
      <c r="B72" s="24"/>
      <c r="E72" s="323"/>
      <c r="N72" s="26"/>
      <c r="P72" s="261"/>
    </row>
    <row r="73" spans="2:16" ht="24.95" customHeight="1">
      <c r="B73" s="30" t="s">
        <v>19</v>
      </c>
      <c r="E73" s="323"/>
      <c r="N73" s="26"/>
      <c r="P73" s="261"/>
    </row>
    <row r="74" spans="2:16" ht="24.95" customHeight="1">
      <c r="B74" s="16" t="s">
        <v>378</v>
      </c>
      <c r="C74" s="3" t="s">
        <v>468</v>
      </c>
      <c r="D74" s="8" t="s">
        <v>248</v>
      </c>
      <c r="E74" s="320">
        <f>16078/2</f>
        <v>8039</v>
      </c>
      <c r="F74" s="9">
        <v>8360</v>
      </c>
      <c r="G74" s="9">
        <v>0</v>
      </c>
      <c r="H74" s="9">
        <f>F74</f>
        <v>8360</v>
      </c>
      <c r="I74" s="9"/>
      <c r="J74" s="9"/>
      <c r="K74" s="9">
        <v>1065</v>
      </c>
      <c r="L74" s="9">
        <f>K74</f>
        <v>1065</v>
      </c>
      <c r="M74" s="9">
        <f>H74+I74-L74-J74</f>
        <v>7295</v>
      </c>
      <c r="N74" s="27"/>
      <c r="P74" s="261"/>
    </row>
    <row r="75" spans="2:16" s="21" customFormat="1" ht="24.95" customHeight="1" thickBot="1">
      <c r="B75" s="28" t="s">
        <v>9</v>
      </c>
      <c r="C75" s="29"/>
      <c r="D75" s="29"/>
      <c r="E75" s="322"/>
      <c r="F75" s="533">
        <f>SUM(F74)</f>
        <v>8360</v>
      </c>
      <c r="G75" s="533">
        <f t="shared" ref="G75:I75" si="19">SUM(G74)</f>
        <v>0</v>
      </c>
      <c r="H75" s="533">
        <f>SUM(H74)</f>
        <v>8360</v>
      </c>
      <c r="I75" s="533">
        <f t="shared" si="19"/>
        <v>0</v>
      </c>
      <c r="J75" s="533">
        <f>SUM(J74)</f>
        <v>0</v>
      </c>
      <c r="K75" s="533">
        <f>SUM(K74)</f>
        <v>1065</v>
      </c>
      <c r="L75" s="533">
        <f>SUM(L74)</f>
        <v>1065</v>
      </c>
      <c r="M75" s="212">
        <f>SUM(M74)</f>
        <v>7295</v>
      </c>
      <c r="N75" s="583"/>
      <c r="O75" s="258">
        <f>H75+I75-L75</f>
        <v>7295</v>
      </c>
      <c r="P75" s="261">
        <f t="shared" si="18"/>
        <v>0</v>
      </c>
    </row>
    <row r="76" spans="2:16" ht="18" customHeight="1" thickTop="1">
      <c r="B76" s="37"/>
      <c r="C76" s="38"/>
      <c r="D76" s="38"/>
      <c r="E76" s="325"/>
      <c r="F76" s="39"/>
      <c r="G76" s="39"/>
      <c r="H76" s="39"/>
      <c r="I76" s="39"/>
      <c r="J76" s="39"/>
      <c r="K76" s="39"/>
      <c r="L76" s="39"/>
      <c r="M76" s="40" t="s">
        <v>51</v>
      </c>
      <c r="N76" s="27"/>
      <c r="P76" s="261"/>
    </row>
    <row r="77" spans="2:16" ht="18" customHeight="1">
      <c r="E77" s="324"/>
      <c r="P77" s="261"/>
    </row>
    <row r="78" spans="2:16" ht="18" customHeight="1">
      <c r="E78" s="324"/>
      <c r="P78" s="261"/>
    </row>
    <row r="79" spans="2:16" ht="18" customHeight="1">
      <c r="E79" s="324"/>
      <c r="P79" s="261"/>
    </row>
    <row r="80" spans="2:16" ht="18" customHeight="1">
      <c r="B80" s="615" t="s">
        <v>215</v>
      </c>
      <c r="C80" s="616"/>
      <c r="D80" s="616"/>
      <c r="E80" s="616"/>
      <c r="F80" s="616"/>
      <c r="G80" s="616"/>
      <c r="H80" s="616"/>
      <c r="I80" s="616"/>
      <c r="J80" s="616"/>
      <c r="K80" s="616"/>
      <c r="L80" s="616"/>
      <c r="M80" s="616"/>
      <c r="N80" s="617"/>
      <c r="P80" s="261"/>
    </row>
    <row r="81" spans="2:16" ht="18" customHeight="1">
      <c r="B81" s="618" t="s">
        <v>786</v>
      </c>
      <c r="C81" s="619"/>
      <c r="D81" s="619"/>
      <c r="E81" s="619"/>
      <c r="F81" s="619"/>
      <c r="G81" s="619"/>
      <c r="H81" s="619"/>
      <c r="I81" s="619"/>
      <c r="J81" s="619"/>
      <c r="K81" s="619"/>
      <c r="L81" s="619"/>
      <c r="M81" s="619"/>
      <c r="N81" s="620"/>
      <c r="P81" s="261"/>
    </row>
    <row r="82" spans="2:16" ht="18" customHeight="1">
      <c r="B82" s="24"/>
      <c r="C82" s="25" t="s">
        <v>0</v>
      </c>
      <c r="D82" s="25"/>
      <c r="E82" s="321"/>
      <c r="N82" s="26"/>
      <c r="P82" s="261"/>
    </row>
    <row r="83" spans="2:16" ht="30" customHeight="1" thickBot="1">
      <c r="B83" s="537" t="s">
        <v>1</v>
      </c>
      <c r="C83" s="478" t="s">
        <v>2</v>
      </c>
      <c r="D83" s="478"/>
      <c r="E83" s="479"/>
      <c r="F83" s="478" t="s">
        <v>3</v>
      </c>
      <c r="G83" s="478" t="s">
        <v>4</v>
      </c>
      <c r="H83" s="478" t="s">
        <v>5</v>
      </c>
      <c r="I83" s="478" t="s">
        <v>48</v>
      </c>
      <c r="J83" s="478"/>
      <c r="K83" s="478" t="s">
        <v>47</v>
      </c>
      <c r="L83" s="478" t="s">
        <v>6</v>
      </c>
      <c r="M83" s="478" t="s">
        <v>7</v>
      </c>
      <c r="N83" s="480" t="s">
        <v>29</v>
      </c>
      <c r="P83" s="261"/>
    </row>
    <row r="84" spans="2:16" ht="18" customHeight="1" thickTop="1">
      <c r="B84" s="30" t="s">
        <v>20</v>
      </c>
      <c r="E84" s="323"/>
      <c r="N84" s="26"/>
      <c r="P84" s="261"/>
    </row>
    <row r="85" spans="2:16" ht="30" customHeight="1">
      <c r="B85" s="16" t="s">
        <v>379</v>
      </c>
      <c r="C85" s="3" t="s">
        <v>440</v>
      </c>
      <c r="D85" s="8" t="s">
        <v>249</v>
      </c>
      <c r="E85" s="320">
        <f>14560/2</f>
        <v>7280</v>
      </c>
      <c r="F85" s="9">
        <v>7571</v>
      </c>
      <c r="G85" s="9">
        <v>0</v>
      </c>
      <c r="H85" s="9">
        <f t="shared" ref="H85:H92" si="20">F85</f>
        <v>7571</v>
      </c>
      <c r="I85" s="9"/>
      <c r="J85" s="9"/>
      <c r="K85" s="9">
        <v>897</v>
      </c>
      <c r="L85" s="9">
        <f>K85</f>
        <v>897</v>
      </c>
      <c r="M85" s="9">
        <f>H85+I85-L85-J85</f>
        <v>6674</v>
      </c>
      <c r="N85" s="27"/>
      <c r="P85" s="261"/>
    </row>
    <row r="86" spans="2:16" ht="30" customHeight="1">
      <c r="B86" s="16" t="s">
        <v>380</v>
      </c>
      <c r="C86" s="3" t="s">
        <v>441</v>
      </c>
      <c r="D86" s="8" t="s">
        <v>249</v>
      </c>
      <c r="E86" s="320">
        <f>14560/2</f>
        <v>7280</v>
      </c>
      <c r="F86" s="9">
        <v>7571</v>
      </c>
      <c r="G86" s="9">
        <v>0</v>
      </c>
      <c r="H86" s="9">
        <f t="shared" si="20"/>
        <v>7571</v>
      </c>
      <c r="I86" s="9"/>
      <c r="J86" s="9"/>
      <c r="K86" s="9">
        <v>897</v>
      </c>
      <c r="L86" s="9">
        <f t="shared" ref="L86:L92" si="21">K86</f>
        <v>897</v>
      </c>
      <c r="M86" s="9">
        <f t="shared" ref="M86:M92" si="22">H86+I86-L86-J86</f>
        <v>6674</v>
      </c>
      <c r="N86" s="26"/>
      <c r="P86" s="261"/>
    </row>
    <row r="87" spans="2:16" ht="30" customHeight="1">
      <c r="B87" s="16" t="s">
        <v>381</v>
      </c>
      <c r="C87" s="3" t="s">
        <v>442</v>
      </c>
      <c r="D87" s="8" t="s">
        <v>249</v>
      </c>
      <c r="E87" s="320">
        <f>14560/2</f>
        <v>7280</v>
      </c>
      <c r="F87" s="9">
        <v>7571</v>
      </c>
      <c r="G87" s="9">
        <v>0</v>
      </c>
      <c r="H87" s="9">
        <f t="shared" si="20"/>
        <v>7571</v>
      </c>
      <c r="I87" s="9"/>
      <c r="J87" s="9"/>
      <c r="K87" s="9">
        <v>897</v>
      </c>
      <c r="L87" s="9">
        <f t="shared" si="21"/>
        <v>897</v>
      </c>
      <c r="M87" s="9">
        <f t="shared" si="22"/>
        <v>6674</v>
      </c>
      <c r="N87" s="31"/>
      <c r="P87" s="261"/>
    </row>
    <row r="88" spans="2:16" ht="30" customHeight="1">
      <c r="B88" s="16" t="s">
        <v>382</v>
      </c>
      <c r="C88" s="3" t="s">
        <v>443</v>
      </c>
      <c r="D88" s="8" t="s">
        <v>242</v>
      </c>
      <c r="E88" s="320">
        <f>8506/2</f>
        <v>4253</v>
      </c>
      <c r="F88" s="9">
        <v>4423</v>
      </c>
      <c r="G88" s="9">
        <v>0</v>
      </c>
      <c r="H88" s="9">
        <f t="shared" si="20"/>
        <v>4423</v>
      </c>
      <c r="I88" s="9"/>
      <c r="J88" s="9"/>
      <c r="K88" s="9">
        <v>344</v>
      </c>
      <c r="L88" s="9">
        <f t="shared" si="21"/>
        <v>344</v>
      </c>
      <c r="M88" s="9">
        <f t="shared" si="22"/>
        <v>4079</v>
      </c>
      <c r="N88" s="31"/>
      <c r="P88" s="261"/>
    </row>
    <row r="89" spans="2:16" ht="30" customHeight="1">
      <c r="B89" s="16" t="s">
        <v>383</v>
      </c>
      <c r="C89" s="3" t="s">
        <v>444</v>
      </c>
      <c r="D89" s="8" t="s">
        <v>250</v>
      </c>
      <c r="E89" s="320">
        <f>7106/2</f>
        <v>3553</v>
      </c>
      <c r="F89" s="9">
        <v>3695</v>
      </c>
      <c r="G89" s="9">
        <v>0</v>
      </c>
      <c r="H89" s="9">
        <f t="shared" si="20"/>
        <v>3695</v>
      </c>
      <c r="I89" s="11"/>
      <c r="J89" s="11"/>
      <c r="K89" s="9">
        <v>265</v>
      </c>
      <c r="L89" s="9">
        <f t="shared" si="21"/>
        <v>265</v>
      </c>
      <c r="M89" s="9">
        <f t="shared" si="22"/>
        <v>3430</v>
      </c>
      <c r="N89" s="31"/>
      <c r="P89" s="261"/>
    </row>
    <row r="90" spans="2:16" ht="30" customHeight="1">
      <c r="B90" s="16" t="s">
        <v>384</v>
      </c>
      <c r="C90" s="3" t="s">
        <v>445</v>
      </c>
      <c r="D90" s="8" t="s">
        <v>249</v>
      </c>
      <c r="E90" s="460">
        <f>8506/2</f>
        <v>4253</v>
      </c>
      <c r="F90" s="9">
        <v>4423</v>
      </c>
      <c r="G90" s="9">
        <v>0</v>
      </c>
      <c r="H90" s="9">
        <f t="shared" si="20"/>
        <v>4423</v>
      </c>
      <c r="I90" s="9"/>
      <c r="J90" s="9"/>
      <c r="K90" s="9">
        <v>344</v>
      </c>
      <c r="L90" s="9">
        <f>J90+K90</f>
        <v>344</v>
      </c>
      <c r="M90" s="9">
        <f>H90-L90</f>
        <v>4079</v>
      </c>
      <c r="N90" s="461"/>
      <c r="P90" s="261"/>
    </row>
    <row r="91" spans="2:16" ht="30" customHeight="1">
      <c r="B91" s="16" t="s">
        <v>385</v>
      </c>
      <c r="C91" s="3" t="s">
        <v>446</v>
      </c>
      <c r="D91" s="8" t="s">
        <v>250</v>
      </c>
      <c r="E91" s="320">
        <f>7398/2</f>
        <v>3699</v>
      </c>
      <c r="F91" s="9">
        <v>3847</v>
      </c>
      <c r="G91" s="9">
        <v>0</v>
      </c>
      <c r="H91" s="9">
        <f t="shared" si="20"/>
        <v>3847</v>
      </c>
      <c r="I91" s="11"/>
      <c r="J91" s="9"/>
      <c r="K91" s="9">
        <v>282</v>
      </c>
      <c r="L91" s="9">
        <f t="shared" si="21"/>
        <v>282</v>
      </c>
      <c r="M91" s="9">
        <f>H91+I91-L91-J91</f>
        <v>3565</v>
      </c>
      <c r="N91" s="32"/>
      <c r="P91" s="261"/>
    </row>
    <row r="92" spans="2:16" ht="30" customHeight="1">
      <c r="B92" s="16" t="s">
        <v>386</v>
      </c>
      <c r="C92" s="3" t="s">
        <v>617</v>
      </c>
      <c r="D92" s="8" t="s">
        <v>618</v>
      </c>
      <c r="E92" s="320">
        <f>8552/2</f>
        <v>4276</v>
      </c>
      <c r="F92" s="9">
        <v>5148</v>
      </c>
      <c r="G92" s="9">
        <v>0</v>
      </c>
      <c r="H92" s="9">
        <f t="shared" si="20"/>
        <v>5148</v>
      </c>
      <c r="I92" s="11"/>
      <c r="J92" s="11"/>
      <c r="K92" s="9">
        <v>441</v>
      </c>
      <c r="L92" s="9">
        <f t="shared" si="21"/>
        <v>441</v>
      </c>
      <c r="M92" s="9">
        <f t="shared" si="22"/>
        <v>4707</v>
      </c>
      <c r="N92" s="26"/>
      <c r="P92" s="261"/>
    </row>
    <row r="93" spans="2:16" s="21" customFormat="1" ht="18" customHeight="1" thickBot="1">
      <c r="B93" s="28" t="s">
        <v>9</v>
      </c>
      <c r="C93" s="29"/>
      <c r="D93" s="29"/>
      <c r="E93" s="322"/>
      <c r="F93" s="533">
        <f>SUM(F85:F92)</f>
        <v>44249</v>
      </c>
      <c r="G93" s="533">
        <f>SUM(G85:G92)</f>
        <v>0</v>
      </c>
      <c r="H93" s="533">
        <f>SUM(H85:H92)</f>
        <v>44249</v>
      </c>
      <c r="I93" s="533">
        <f t="shared" ref="I93" si="23">SUM(I85:I91)</f>
        <v>0</v>
      </c>
      <c r="J93" s="533">
        <f>SUM(J85:J91)</f>
        <v>0</v>
      </c>
      <c r="K93" s="533">
        <f>SUM(K85:K92)</f>
        <v>4367</v>
      </c>
      <c r="L93" s="533">
        <f>SUM(L85:L92)</f>
        <v>4367</v>
      </c>
      <c r="M93" s="212">
        <f>SUM(M85:M92)</f>
        <v>39882</v>
      </c>
      <c r="N93" s="581"/>
      <c r="O93" s="258">
        <f>H93+I93-L93</f>
        <v>39882</v>
      </c>
      <c r="P93" s="261">
        <f t="shared" si="18"/>
        <v>0</v>
      </c>
    </row>
    <row r="94" spans="2:16" ht="18" customHeight="1" thickTop="1">
      <c r="B94" s="24"/>
      <c r="E94" s="323"/>
      <c r="F94" s="12"/>
      <c r="G94" s="12"/>
      <c r="H94" s="12"/>
      <c r="I94" s="13"/>
      <c r="J94" s="13"/>
      <c r="K94" s="12"/>
      <c r="L94" s="12"/>
      <c r="M94" s="14" t="s">
        <v>51</v>
      </c>
      <c r="N94" s="26"/>
      <c r="P94" s="261"/>
    </row>
    <row r="95" spans="2:16" ht="18" customHeight="1">
      <c r="B95" s="24"/>
      <c r="E95" s="323"/>
      <c r="N95" s="26"/>
      <c r="P95" s="261"/>
    </row>
    <row r="96" spans="2:16" ht="18" customHeight="1">
      <c r="B96" s="30" t="s">
        <v>21</v>
      </c>
      <c r="E96" s="323"/>
      <c r="N96" s="26"/>
      <c r="P96" s="261"/>
    </row>
    <row r="97" spans="2:17" ht="30" customHeight="1">
      <c r="B97" s="16" t="s">
        <v>387</v>
      </c>
      <c r="C97" s="3" t="s">
        <v>447</v>
      </c>
      <c r="D97" s="8" t="s">
        <v>251</v>
      </c>
      <c r="E97" s="320">
        <f>7414/2</f>
        <v>3707</v>
      </c>
      <c r="F97" s="9">
        <v>3855</v>
      </c>
      <c r="G97" s="9">
        <v>0</v>
      </c>
      <c r="H97" s="9">
        <f>F97</f>
        <v>3855</v>
      </c>
      <c r="I97" s="9"/>
      <c r="J97" s="9"/>
      <c r="K97" s="9">
        <v>282</v>
      </c>
      <c r="L97" s="9">
        <f>K97</f>
        <v>282</v>
      </c>
      <c r="M97" s="9">
        <f>H97+I97-L97-J97</f>
        <v>3573</v>
      </c>
      <c r="N97" s="27"/>
      <c r="P97" s="261"/>
    </row>
    <row r="98" spans="2:17" s="21" customFormat="1" ht="18" customHeight="1" thickBot="1">
      <c r="B98" s="28" t="s">
        <v>9</v>
      </c>
      <c r="C98" s="29"/>
      <c r="D98" s="29"/>
      <c r="E98" s="322"/>
      <c r="F98" s="533">
        <f t="shared" ref="F98:I98" si="24">SUM(F97:F97)</f>
        <v>3855</v>
      </c>
      <c r="G98" s="533">
        <f t="shared" si="24"/>
        <v>0</v>
      </c>
      <c r="H98" s="533">
        <f>SUM(H97:H97)</f>
        <v>3855</v>
      </c>
      <c r="I98" s="533">
        <f t="shared" si="24"/>
        <v>0</v>
      </c>
      <c r="J98" s="533">
        <f>SUM(J97)</f>
        <v>0</v>
      </c>
      <c r="K98" s="533">
        <f>SUM(K97:K97)</f>
        <v>282</v>
      </c>
      <c r="L98" s="533">
        <f>SUM(L97:L97)</f>
        <v>282</v>
      </c>
      <c r="M98" s="212">
        <f>SUM(M97:M97)</f>
        <v>3573</v>
      </c>
      <c r="N98" s="583"/>
      <c r="O98" s="258">
        <f>H98+I98-L98</f>
        <v>3573</v>
      </c>
      <c r="P98" s="261">
        <f t="shared" si="18"/>
        <v>0</v>
      </c>
    </row>
    <row r="99" spans="2:17" ht="18" customHeight="1" thickTop="1">
      <c r="B99" s="24"/>
      <c r="E99" s="323"/>
      <c r="F99" s="12"/>
      <c r="G99" s="12"/>
      <c r="H99" s="12"/>
      <c r="I99" s="13"/>
      <c r="J99" s="13"/>
      <c r="K99" s="12"/>
      <c r="L99" s="12"/>
      <c r="M99" s="14" t="s">
        <v>51</v>
      </c>
      <c r="N99" s="26"/>
      <c r="P99" s="261"/>
    </row>
    <row r="100" spans="2:17" ht="18" customHeight="1">
      <c r="B100" s="24"/>
      <c r="E100" s="323"/>
      <c r="N100" s="26"/>
      <c r="P100" s="261"/>
    </row>
    <row r="101" spans="2:17" ht="18" customHeight="1">
      <c r="B101" s="30" t="s">
        <v>22</v>
      </c>
      <c r="E101" s="323"/>
      <c r="N101" s="26"/>
      <c r="P101" s="261"/>
    </row>
    <row r="102" spans="2:17" ht="30" customHeight="1">
      <c r="B102" s="16" t="s">
        <v>388</v>
      </c>
      <c r="C102" s="3" t="s">
        <v>41</v>
      </c>
      <c r="D102" s="8" t="s">
        <v>253</v>
      </c>
      <c r="E102" s="320">
        <f>10384/2</f>
        <v>5192</v>
      </c>
      <c r="F102" s="9">
        <v>5400</v>
      </c>
      <c r="G102" s="9">
        <v>0</v>
      </c>
      <c r="H102" s="9">
        <f>F102</f>
        <v>5400</v>
      </c>
      <c r="I102" s="11"/>
      <c r="J102" s="11"/>
      <c r="K102" s="9">
        <v>481</v>
      </c>
      <c r="L102" s="9">
        <f>K102</f>
        <v>481</v>
      </c>
      <c r="M102" s="9">
        <f>H102+I102-L102-J102</f>
        <v>4919</v>
      </c>
      <c r="N102" s="26"/>
      <c r="P102" s="261"/>
    </row>
    <row r="103" spans="2:17" s="21" customFormat="1" ht="18" customHeight="1" thickBot="1">
      <c r="B103" s="28" t="s">
        <v>9</v>
      </c>
      <c r="C103" s="29"/>
      <c r="D103" s="29"/>
      <c r="E103" s="322"/>
      <c r="F103" s="533">
        <f t="shared" ref="F103:M103" si="25">SUM(F102:F102)</f>
        <v>5400</v>
      </c>
      <c r="G103" s="533">
        <f t="shared" si="25"/>
        <v>0</v>
      </c>
      <c r="H103" s="533">
        <f t="shared" si="25"/>
        <v>5400</v>
      </c>
      <c r="I103" s="533">
        <f t="shared" si="25"/>
        <v>0</v>
      </c>
      <c r="J103" s="533">
        <f t="shared" si="25"/>
        <v>0</v>
      </c>
      <c r="K103" s="533">
        <f t="shared" si="25"/>
        <v>481</v>
      </c>
      <c r="L103" s="533">
        <f t="shared" si="25"/>
        <v>481</v>
      </c>
      <c r="M103" s="212">
        <f t="shared" si="25"/>
        <v>4919</v>
      </c>
      <c r="N103" s="581"/>
      <c r="O103" s="258">
        <f>H103+I103-L103</f>
        <v>4919</v>
      </c>
      <c r="P103" s="261">
        <f t="shared" si="18"/>
        <v>0</v>
      </c>
    </row>
    <row r="104" spans="2:17" ht="18" customHeight="1" thickTop="1">
      <c r="B104" s="37"/>
      <c r="C104" s="38"/>
      <c r="D104" s="38"/>
      <c r="E104" s="325"/>
      <c r="F104" s="39"/>
      <c r="G104" s="39"/>
      <c r="H104" s="39"/>
      <c r="I104" s="41"/>
      <c r="J104" s="41"/>
      <c r="K104" s="39"/>
      <c r="L104" s="39"/>
      <c r="M104" s="40" t="s">
        <v>51</v>
      </c>
      <c r="N104" s="27"/>
      <c r="P104" s="261"/>
    </row>
    <row r="105" spans="2:17" ht="18" customHeight="1">
      <c r="E105" s="324"/>
      <c r="F105" s="12"/>
      <c r="G105" s="12"/>
      <c r="H105" s="12"/>
      <c r="I105" s="13"/>
      <c r="J105" s="13"/>
      <c r="K105" s="12"/>
      <c r="L105" s="12"/>
      <c r="M105" s="14"/>
      <c r="P105" s="261"/>
    </row>
    <row r="106" spans="2:17" ht="18" customHeight="1">
      <c r="B106" s="615" t="s">
        <v>215</v>
      </c>
      <c r="C106" s="616"/>
      <c r="D106" s="616"/>
      <c r="E106" s="616"/>
      <c r="F106" s="616"/>
      <c r="G106" s="616"/>
      <c r="H106" s="616"/>
      <c r="I106" s="616"/>
      <c r="J106" s="616"/>
      <c r="K106" s="616"/>
      <c r="L106" s="616"/>
      <c r="M106" s="616"/>
      <c r="N106" s="617"/>
      <c r="P106" s="261"/>
    </row>
    <row r="107" spans="2:17" ht="18" customHeight="1">
      <c r="B107" s="618" t="s">
        <v>789</v>
      </c>
      <c r="C107" s="619"/>
      <c r="D107" s="619"/>
      <c r="E107" s="619"/>
      <c r="F107" s="619"/>
      <c r="G107" s="619"/>
      <c r="H107" s="619"/>
      <c r="I107" s="619"/>
      <c r="J107" s="619"/>
      <c r="K107" s="619"/>
      <c r="L107" s="619"/>
      <c r="M107" s="619"/>
      <c r="N107" s="620"/>
      <c r="P107" s="261"/>
    </row>
    <row r="108" spans="2:17" ht="18" customHeight="1">
      <c r="B108" s="24"/>
      <c r="C108" s="25" t="s">
        <v>0</v>
      </c>
      <c r="D108" s="25"/>
      <c r="E108" s="321"/>
      <c r="N108" s="26"/>
      <c r="P108" s="261"/>
    </row>
    <row r="109" spans="2:17" ht="32.25" customHeight="1" thickBot="1">
      <c r="B109" s="537" t="s">
        <v>1</v>
      </c>
      <c r="C109" s="478" t="s">
        <v>2</v>
      </c>
      <c r="D109" s="478"/>
      <c r="E109" s="479"/>
      <c r="F109" s="478" t="s">
        <v>3</v>
      </c>
      <c r="G109" s="478" t="s">
        <v>4</v>
      </c>
      <c r="H109" s="478" t="s">
        <v>5</v>
      </c>
      <c r="I109" s="478" t="s">
        <v>48</v>
      </c>
      <c r="J109" s="478" t="s">
        <v>605</v>
      </c>
      <c r="K109" s="478" t="s">
        <v>47</v>
      </c>
      <c r="L109" s="478" t="s">
        <v>6</v>
      </c>
      <c r="M109" s="478" t="s">
        <v>7</v>
      </c>
      <c r="N109" s="480" t="s">
        <v>29</v>
      </c>
      <c r="P109" s="261"/>
    </row>
    <row r="110" spans="2:17" ht="18" customHeight="1" thickTop="1">
      <c r="B110" s="30" t="s">
        <v>23</v>
      </c>
      <c r="E110" s="323"/>
      <c r="N110" s="26"/>
      <c r="P110" s="261"/>
    </row>
    <row r="111" spans="2:17" ht="30" customHeight="1">
      <c r="B111" s="16" t="s">
        <v>389</v>
      </c>
      <c r="C111" s="3" t="s">
        <v>449</v>
      </c>
      <c r="D111" s="8" t="s">
        <v>254</v>
      </c>
      <c r="E111" s="320">
        <f>6324/2</f>
        <v>3162</v>
      </c>
      <c r="F111" s="9">
        <v>3288</v>
      </c>
      <c r="G111" s="9">
        <v>0</v>
      </c>
      <c r="H111" s="9">
        <f>F111</f>
        <v>3288</v>
      </c>
      <c r="I111" s="11"/>
      <c r="J111" s="11"/>
      <c r="K111" s="9">
        <v>94</v>
      </c>
      <c r="L111" s="9">
        <f>K111</f>
        <v>94</v>
      </c>
      <c r="M111" s="9">
        <f>H111+I111-L111-J111</f>
        <v>3194</v>
      </c>
      <c r="N111" s="26"/>
      <c r="O111" s="182"/>
      <c r="P111" s="261"/>
    </row>
    <row r="112" spans="2:17" ht="30" customHeight="1">
      <c r="B112" s="16" t="s">
        <v>390</v>
      </c>
      <c r="C112" s="3" t="s">
        <v>450</v>
      </c>
      <c r="D112" s="8" t="s">
        <v>254</v>
      </c>
      <c r="E112" s="320">
        <f>7940/2</f>
        <v>3970</v>
      </c>
      <c r="F112" s="9">
        <v>4129</v>
      </c>
      <c r="G112" s="9">
        <v>0</v>
      </c>
      <c r="H112" s="9">
        <f>F112</f>
        <v>4129</v>
      </c>
      <c r="I112" s="11"/>
      <c r="J112" s="11"/>
      <c r="K112" s="9">
        <v>312</v>
      </c>
      <c r="L112" s="9">
        <f t="shared" ref="L112:L115" si="26">K112</f>
        <v>312</v>
      </c>
      <c r="M112" s="9">
        <f t="shared" ref="M112:M115" si="27">H112+I112-L112-J112</f>
        <v>3817</v>
      </c>
      <c r="N112" s="32"/>
      <c r="O112" s="283"/>
      <c r="P112" s="283">
        <v>3524.16</v>
      </c>
      <c r="Q112" s="283"/>
    </row>
    <row r="113" spans="2:16" ht="30" customHeight="1">
      <c r="B113" s="16" t="s">
        <v>391</v>
      </c>
      <c r="C113" s="3" t="s">
        <v>451</v>
      </c>
      <c r="D113" s="8" t="s">
        <v>254</v>
      </c>
      <c r="E113" s="320">
        <f>7940/2</f>
        <v>3970</v>
      </c>
      <c r="F113" s="9">
        <v>4129</v>
      </c>
      <c r="G113" s="9">
        <v>0</v>
      </c>
      <c r="H113" s="9">
        <f>F113</f>
        <v>4129</v>
      </c>
      <c r="I113" s="11"/>
      <c r="J113" s="11"/>
      <c r="K113" s="9">
        <v>312</v>
      </c>
      <c r="L113" s="9">
        <f t="shared" si="26"/>
        <v>312</v>
      </c>
      <c r="M113" s="9">
        <f t="shared" si="27"/>
        <v>3817</v>
      </c>
      <c r="N113" s="26"/>
      <c r="O113" s="283"/>
      <c r="P113" s="283">
        <v>3524.16</v>
      </c>
    </row>
    <row r="114" spans="2:16" ht="30" customHeight="1">
      <c r="B114" s="16" t="s">
        <v>392</v>
      </c>
      <c r="C114" s="3" t="s">
        <v>625</v>
      </c>
      <c r="D114" s="8" t="s">
        <v>254</v>
      </c>
      <c r="E114" s="320">
        <f>7404/2</f>
        <v>3702</v>
      </c>
      <c r="F114" s="9">
        <v>4389</v>
      </c>
      <c r="G114" s="9">
        <v>0</v>
      </c>
      <c r="H114" s="9">
        <f>F114</f>
        <v>4389</v>
      </c>
      <c r="I114" s="11"/>
      <c r="J114" s="11"/>
      <c r="K114" s="9">
        <v>341</v>
      </c>
      <c r="L114" s="9">
        <f t="shared" si="26"/>
        <v>341</v>
      </c>
      <c r="M114" s="9">
        <f t="shared" si="27"/>
        <v>4048</v>
      </c>
      <c r="N114" s="420"/>
      <c r="O114" s="182"/>
      <c r="P114" s="261"/>
    </row>
    <row r="115" spans="2:16" ht="30" customHeight="1">
      <c r="B115" s="16" t="s">
        <v>393</v>
      </c>
      <c r="C115" s="3" t="s">
        <v>452</v>
      </c>
      <c r="D115" s="8" t="s">
        <v>254</v>
      </c>
      <c r="E115" s="320">
        <f>8172/2</f>
        <v>4086</v>
      </c>
      <c r="F115" s="9">
        <v>4249</v>
      </c>
      <c r="G115" s="9">
        <v>0</v>
      </c>
      <c r="H115" s="9">
        <f>F115</f>
        <v>4249</v>
      </c>
      <c r="I115" s="9"/>
      <c r="J115" s="9"/>
      <c r="K115" s="9">
        <v>325</v>
      </c>
      <c r="L115" s="9">
        <f t="shared" si="26"/>
        <v>325</v>
      </c>
      <c r="M115" s="9">
        <f t="shared" si="27"/>
        <v>3924</v>
      </c>
      <c r="N115" s="32"/>
      <c r="O115" s="182"/>
      <c r="P115" s="261"/>
    </row>
    <row r="116" spans="2:16" s="21" customFormat="1" ht="18" customHeight="1" thickBot="1">
      <c r="B116" s="28" t="s">
        <v>9</v>
      </c>
      <c r="C116" s="29"/>
      <c r="D116" s="29"/>
      <c r="E116" s="322"/>
      <c r="F116" s="533">
        <f>SUM(F111:F115)</f>
        <v>20184</v>
      </c>
      <c r="G116" s="533">
        <f t="shared" ref="G116:M116" si="28">SUM(G111:G115)</f>
        <v>0</v>
      </c>
      <c r="H116" s="533">
        <f t="shared" si="28"/>
        <v>20184</v>
      </c>
      <c r="I116" s="533">
        <f t="shared" si="28"/>
        <v>0</v>
      </c>
      <c r="J116" s="533">
        <f>SUM(J111:J115)</f>
        <v>0</v>
      </c>
      <c r="K116" s="533">
        <f t="shared" si="28"/>
        <v>1384</v>
      </c>
      <c r="L116" s="533">
        <f>SUM(L111:L115)</f>
        <v>1384</v>
      </c>
      <c r="M116" s="212">
        <f t="shared" si="28"/>
        <v>18800</v>
      </c>
      <c r="N116" s="583"/>
      <c r="O116" s="259">
        <f>H116+I116-L116</f>
        <v>18800</v>
      </c>
      <c r="P116" s="261">
        <f t="shared" si="18"/>
        <v>0</v>
      </c>
    </row>
    <row r="117" spans="2:16" ht="18" customHeight="1" thickTop="1">
      <c r="B117" s="24"/>
      <c r="E117" s="323"/>
      <c r="F117" s="12"/>
      <c r="G117" s="12"/>
      <c r="H117" s="12"/>
      <c r="I117" s="13"/>
      <c r="J117" s="13"/>
      <c r="K117" s="12"/>
      <c r="L117" s="12"/>
      <c r="M117" s="14" t="s">
        <v>51</v>
      </c>
      <c r="N117" s="26"/>
      <c r="P117" s="261"/>
    </row>
    <row r="118" spans="2:16" ht="18" customHeight="1">
      <c r="B118" s="24"/>
      <c r="E118" s="323"/>
      <c r="N118" s="26"/>
      <c r="P118" s="261"/>
    </row>
    <row r="119" spans="2:16" ht="18" customHeight="1">
      <c r="B119" s="30" t="s">
        <v>24</v>
      </c>
      <c r="E119" s="323"/>
      <c r="N119" s="26"/>
      <c r="P119" s="261"/>
    </row>
    <row r="120" spans="2:16" ht="18" customHeight="1">
      <c r="B120" s="16" t="s">
        <v>394</v>
      </c>
      <c r="C120" s="3" t="s">
        <v>635</v>
      </c>
      <c r="D120" s="8" t="s">
        <v>636</v>
      </c>
      <c r="E120" s="320">
        <f>12210/2</f>
        <v>6105</v>
      </c>
      <c r="F120" s="400">
        <v>6349</v>
      </c>
      <c r="G120" s="3"/>
      <c r="H120" s="274">
        <f>F120</f>
        <v>6349</v>
      </c>
      <c r="I120" s="3"/>
      <c r="J120" s="400"/>
      <c r="K120" s="3">
        <v>647</v>
      </c>
      <c r="L120" s="3">
        <f>K120</f>
        <v>647</v>
      </c>
      <c r="M120" s="274">
        <f>H120-L120-J120</f>
        <v>5702</v>
      </c>
      <c r="N120" s="26"/>
      <c r="P120" s="261"/>
    </row>
    <row r="121" spans="2:16" ht="30" customHeight="1">
      <c r="B121" s="16" t="s">
        <v>395</v>
      </c>
      <c r="C121" s="3" t="s">
        <v>454</v>
      </c>
      <c r="D121" s="8" t="s">
        <v>250</v>
      </c>
      <c r="E121" s="320">
        <f>7088/2</f>
        <v>3544</v>
      </c>
      <c r="F121" s="9">
        <v>3686</v>
      </c>
      <c r="G121" s="9">
        <v>0</v>
      </c>
      <c r="H121" s="9">
        <f>F121</f>
        <v>3686</v>
      </c>
      <c r="I121" s="11"/>
      <c r="J121" s="11"/>
      <c r="K121" s="9">
        <v>155</v>
      </c>
      <c r="L121" s="9">
        <f>K121</f>
        <v>155</v>
      </c>
      <c r="M121" s="9">
        <f>H121+I121-L121-J121</f>
        <v>3531</v>
      </c>
      <c r="N121" s="32"/>
      <c r="P121" s="261"/>
    </row>
    <row r="122" spans="2:16" s="21" customFormat="1" ht="18" customHeight="1" thickBot="1">
      <c r="B122" s="28" t="s">
        <v>9</v>
      </c>
      <c r="C122" s="29"/>
      <c r="D122" s="29"/>
      <c r="E122" s="322"/>
      <c r="F122" s="533">
        <f>SUM(F120:F121)</f>
        <v>10035</v>
      </c>
      <c r="G122" s="533">
        <f t="shared" ref="G122:I122" si="29">SUM(G121:G121)</f>
        <v>0</v>
      </c>
      <c r="H122" s="533">
        <f>SUM(H120:H121)</f>
        <v>10035</v>
      </c>
      <c r="I122" s="533">
        <f t="shared" si="29"/>
        <v>0</v>
      </c>
      <c r="J122" s="533">
        <f>J120</f>
        <v>0</v>
      </c>
      <c r="K122" s="533">
        <f>SUM(K120:K121)</f>
        <v>802</v>
      </c>
      <c r="L122" s="533">
        <f>SUM(L120:L121)</f>
        <v>802</v>
      </c>
      <c r="M122" s="212">
        <f>SUM(M120:M121)</f>
        <v>9233</v>
      </c>
      <c r="N122" s="583"/>
      <c r="O122" s="258">
        <f>H122+I122-L122</f>
        <v>9233</v>
      </c>
      <c r="P122" s="261">
        <f t="shared" si="18"/>
        <v>0</v>
      </c>
    </row>
    <row r="123" spans="2:16" ht="18" customHeight="1" thickTop="1">
      <c r="B123" s="37"/>
      <c r="C123" s="38"/>
      <c r="D123" s="38"/>
      <c r="E123" s="325"/>
      <c r="F123" s="39"/>
      <c r="G123" s="39"/>
      <c r="H123" s="39"/>
      <c r="I123" s="41"/>
      <c r="J123" s="41"/>
      <c r="K123" s="39"/>
      <c r="L123" s="39"/>
      <c r="M123" s="40" t="s">
        <v>51</v>
      </c>
      <c r="N123" s="27"/>
      <c r="P123" s="261"/>
    </row>
    <row r="124" spans="2:16" ht="18" customHeight="1">
      <c r="E124" s="324"/>
      <c r="P124" s="261"/>
    </row>
    <row r="125" spans="2:16" ht="18" customHeight="1">
      <c r="E125" s="324"/>
      <c r="P125" s="261"/>
    </row>
    <row r="126" spans="2:16" ht="18" customHeight="1">
      <c r="E126" s="324"/>
      <c r="P126" s="261"/>
    </row>
    <row r="127" spans="2:16" ht="18" customHeight="1">
      <c r="E127" s="324"/>
      <c r="P127" s="261"/>
    </row>
    <row r="128" spans="2:16" ht="18" customHeight="1">
      <c r="B128" s="615" t="s">
        <v>215</v>
      </c>
      <c r="C128" s="616"/>
      <c r="D128" s="616"/>
      <c r="E128" s="616"/>
      <c r="F128" s="616"/>
      <c r="G128" s="616"/>
      <c r="H128" s="616"/>
      <c r="I128" s="616"/>
      <c r="J128" s="616"/>
      <c r="K128" s="616"/>
      <c r="L128" s="616"/>
      <c r="M128" s="616"/>
      <c r="N128" s="617"/>
      <c r="P128" s="261"/>
    </row>
    <row r="129" spans="2:16" ht="18" customHeight="1">
      <c r="B129" s="618" t="s">
        <v>786</v>
      </c>
      <c r="C129" s="619"/>
      <c r="D129" s="619"/>
      <c r="E129" s="619"/>
      <c r="F129" s="619"/>
      <c r="G129" s="619"/>
      <c r="H129" s="619"/>
      <c r="I129" s="619"/>
      <c r="J129" s="619"/>
      <c r="K129" s="619"/>
      <c r="L129" s="619"/>
      <c r="M129" s="619"/>
      <c r="N129" s="620"/>
      <c r="P129" s="261"/>
    </row>
    <row r="130" spans="2:16" ht="18" customHeight="1">
      <c r="B130" s="24"/>
      <c r="C130" s="25" t="s">
        <v>0</v>
      </c>
      <c r="D130" s="25"/>
      <c r="E130" s="321"/>
      <c r="N130" s="26"/>
      <c r="P130" s="261"/>
    </row>
    <row r="131" spans="2:16" ht="26.25" customHeight="1" thickBot="1">
      <c r="B131" s="537" t="s">
        <v>1</v>
      </c>
      <c r="C131" s="478" t="s">
        <v>2</v>
      </c>
      <c r="D131" s="478"/>
      <c r="E131" s="479"/>
      <c r="F131" s="478" t="s">
        <v>3</v>
      </c>
      <c r="G131" s="478" t="s">
        <v>4</v>
      </c>
      <c r="H131" s="478" t="s">
        <v>5</v>
      </c>
      <c r="I131" s="478" t="s">
        <v>48</v>
      </c>
      <c r="J131" s="478" t="s">
        <v>605</v>
      </c>
      <c r="K131" s="478" t="s">
        <v>47</v>
      </c>
      <c r="L131" s="478" t="s">
        <v>6</v>
      </c>
      <c r="M131" s="478" t="s">
        <v>7</v>
      </c>
      <c r="N131" s="480" t="s">
        <v>29</v>
      </c>
      <c r="P131" s="261"/>
    </row>
    <row r="132" spans="2:16" ht="18" customHeight="1" thickTop="1">
      <c r="B132" s="30" t="s">
        <v>25</v>
      </c>
      <c r="E132" s="323"/>
      <c r="N132" s="26"/>
      <c r="P132" s="261"/>
    </row>
    <row r="133" spans="2:16" ht="35.1" customHeight="1">
      <c r="B133" s="16" t="s">
        <v>396</v>
      </c>
      <c r="C133" s="3" t="s">
        <v>42</v>
      </c>
      <c r="D133" s="8" t="s">
        <v>255</v>
      </c>
      <c r="E133" s="320">
        <f>13768/2</f>
        <v>6884</v>
      </c>
      <c r="F133" s="9">
        <v>7659</v>
      </c>
      <c r="G133" s="9">
        <v>0</v>
      </c>
      <c r="H133" s="9">
        <f>F133</f>
        <v>7659</v>
      </c>
      <c r="I133" s="9"/>
      <c r="J133" s="282"/>
      <c r="K133" s="9">
        <v>915</v>
      </c>
      <c r="L133" s="9">
        <f>K133</f>
        <v>915</v>
      </c>
      <c r="M133" s="9">
        <f t="shared" ref="M133:M137" si="30">H133+I133-L133-J133</f>
        <v>6744</v>
      </c>
      <c r="N133" s="27"/>
      <c r="P133" s="261"/>
    </row>
    <row r="134" spans="2:16" ht="35.1" customHeight="1">
      <c r="B134" s="16" t="s">
        <v>397</v>
      </c>
      <c r="C134" s="3" t="s">
        <v>263</v>
      </c>
      <c r="D134" s="8" t="s">
        <v>257</v>
      </c>
      <c r="E134" s="320">
        <f>6252/2</f>
        <v>3126</v>
      </c>
      <c r="F134" s="9">
        <v>3251</v>
      </c>
      <c r="G134" s="9">
        <v>0</v>
      </c>
      <c r="H134" s="9">
        <f t="shared" ref="H134:H139" si="31">F134</f>
        <v>3251</v>
      </c>
      <c r="I134" s="11"/>
      <c r="J134" s="11"/>
      <c r="K134" s="9">
        <v>90</v>
      </c>
      <c r="L134" s="9">
        <f t="shared" ref="L134:L139" si="32">K134</f>
        <v>90</v>
      </c>
      <c r="M134" s="9">
        <f t="shared" si="30"/>
        <v>3161</v>
      </c>
      <c r="N134" s="9"/>
      <c r="P134" s="261"/>
    </row>
    <row r="135" spans="2:16" ht="35.1" customHeight="1">
      <c r="B135" s="16" t="s">
        <v>398</v>
      </c>
      <c r="C135" s="3" t="s">
        <v>262</v>
      </c>
      <c r="D135" s="8" t="s">
        <v>258</v>
      </c>
      <c r="E135" s="320">
        <f>8102/2</f>
        <v>4051</v>
      </c>
      <c r="F135" s="9">
        <v>4213</v>
      </c>
      <c r="G135" s="9">
        <v>0</v>
      </c>
      <c r="H135" s="9">
        <f t="shared" si="31"/>
        <v>4213</v>
      </c>
      <c r="I135" s="9"/>
      <c r="J135" s="9"/>
      <c r="K135" s="9">
        <v>321</v>
      </c>
      <c r="L135" s="9">
        <f>J135+K135</f>
        <v>321</v>
      </c>
      <c r="M135" s="9">
        <f>H135-L135</f>
        <v>3892</v>
      </c>
      <c r="N135" s="9"/>
      <c r="P135" s="261"/>
    </row>
    <row r="136" spans="2:16" ht="35.1" customHeight="1">
      <c r="B136" s="16" t="s">
        <v>399</v>
      </c>
      <c r="C136" s="3" t="s">
        <v>626</v>
      </c>
      <c r="D136" s="8" t="s">
        <v>250</v>
      </c>
      <c r="E136" s="320">
        <f>7170/2</f>
        <v>3585</v>
      </c>
      <c r="F136" s="9">
        <v>3728</v>
      </c>
      <c r="G136" s="9">
        <v>0</v>
      </c>
      <c r="H136" s="9">
        <f t="shared" si="31"/>
        <v>3728</v>
      </c>
      <c r="I136" s="11"/>
      <c r="J136" s="11"/>
      <c r="K136" s="9">
        <v>269</v>
      </c>
      <c r="L136" s="9">
        <f t="shared" si="32"/>
        <v>269</v>
      </c>
      <c r="M136" s="9">
        <f t="shared" si="30"/>
        <v>3459</v>
      </c>
      <c r="N136" s="9"/>
      <c r="P136" s="261"/>
    </row>
    <row r="137" spans="2:16" ht="35.1" customHeight="1">
      <c r="B137" s="16" t="s">
        <v>400</v>
      </c>
      <c r="C137" s="3" t="s">
        <v>260</v>
      </c>
      <c r="D137" s="8" t="s">
        <v>250</v>
      </c>
      <c r="E137" s="320">
        <f>6280/2</f>
        <v>3140</v>
      </c>
      <c r="F137" s="9">
        <v>3266</v>
      </c>
      <c r="G137" s="9">
        <v>0</v>
      </c>
      <c r="H137" s="9">
        <f t="shared" si="31"/>
        <v>3266</v>
      </c>
      <c r="I137" s="11"/>
      <c r="J137" s="11"/>
      <c r="K137" s="9">
        <v>92</v>
      </c>
      <c r="L137" s="9">
        <f t="shared" si="32"/>
        <v>92</v>
      </c>
      <c r="M137" s="9">
        <f t="shared" si="30"/>
        <v>3174</v>
      </c>
      <c r="N137" s="9"/>
      <c r="P137" s="261"/>
    </row>
    <row r="138" spans="2:16" ht="35.1" customHeight="1">
      <c r="B138" s="16" t="s">
        <v>401</v>
      </c>
      <c r="C138" s="3" t="s">
        <v>612</v>
      </c>
      <c r="D138" s="8" t="s">
        <v>258</v>
      </c>
      <c r="E138" s="320">
        <f>7160/2</f>
        <v>3580</v>
      </c>
      <c r="F138" s="9">
        <v>3723</v>
      </c>
      <c r="G138" s="9">
        <v>0</v>
      </c>
      <c r="H138" s="9">
        <f t="shared" si="31"/>
        <v>3723</v>
      </c>
      <c r="I138" s="11"/>
      <c r="J138" s="11"/>
      <c r="K138" s="9">
        <v>268</v>
      </c>
      <c r="L138" s="9">
        <f t="shared" si="32"/>
        <v>268</v>
      </c>
      <c r="M138" s="9">
        <f t="shared" ref="M138" si="33">H138+I138-L138-J138</f>
        <v>3455</v>
      </c>
      <c r="N138" s="9"/>
      <c r="P138" s="261"/>
    </row>
    <row r="139" spans="2:16" ht="35.1" customHeight="1">
      <c r="B139" s="16" t="s">
        <v>402</v>
      </c>
      <c r="C139" s="3" t="s">
        <v>259</v>
      </c>
      <c r="D139" s="8" t="s">
        <v>258</v>
      </c>
      <c r="E139" s="320">
        <f>7160/2</f>
        <v>3580</v>
      </c>
      <c r="F139" s="9">
        <v>3723</v>
      </c>
      <c r="G139" s="9">
        <v>0</v>
      </c>
      <c r="H139" s="9">
        <f t="shared" si="31"/>
        <v>3723</v>
      </c>
      <c r="I139" s="11"/>
      <c r="J139" s="11"/>
      <c r="K139" s="9">
        <v>268</v>
      </c>
      <c r="L139" s="9">
        <f t="shared" si="32"/>
        <v>268</v>
      </c>
      <c r="M139" s="9">
        <f>H139+I139-L139-J139</f>
        <v>3455</v>
      </c>
      <c r="N139" s="9"/>
      <c r="P139" s="261"/>
    </row>
    <row r="140" spans="2:16" s="21" customFormat="1" ht="18" customHeight="1" thickBot="1">
      <c r="B140" s="28" t="s">
        <v>9</v>
      </c>
      <c r="C140" s="29"/>
      <c r="D140" s="29"/>
      <c r="E140" s="322"/>
      <c r="F140" s="533">
        <f t="shared" ref="F140:M140" si="34">SUM(F133:F139)</f>
        <v>29563</v>
      </c>
      <c r="G140" s="533">
        <f t="shared" si="34"/>
        <v>0</v>
      </c>
      <c r="H140" s="533">
        <f t="shared" si="34"/>
        <v>29563</v>
      </c>
      <c r="I140" s="533">
        <f t="shared" si="34"/>
        <v>0</v>
      </c>
      <c r="J140" s="533">
        <f t="shared" si="34"/>
        <v>0</v>
      </c>
      <c r="K140" s="533">
        <f t="shared" si="34"/>
        <v>2223</v>
      </c>
      <c r="L140" s="533">
        <f t="shared" si="34"/>
        <v>2223</v>
      </c>
      <c r="M140" s="212">
        <f t="shared" si="34"/>
        <v>27340</v>
      </c>
      <c r="N140" s="585"/>
      <c r="O140" s="258">
        <f>H140+I140-L140-J140</f>
        <v>27340</v>
      </c>
      <c r="P140" s="261">
        <f t="shared" ref="P140:P171" si="35">M140-O140</f>
        <v>0</v>
      </c>
    </row>
    <row r="141" spans="2:16" ht="18" customHeight="1" thickTop="1">
      <c r="B141" s="24"/>
      <c r="E141" s="323"/>
      <c r="F141" s="12"/>
      <c r="G141" s="12"/>
      <c r="H141" s="12"/>
      <c r="I141" s="13"/>
      <c r="J141" s="13"/>
      <c r="K141" s="12"/>
      <c r="L141" s="12"/>
      <c r="M141" s="45" t="s">
        <v>51</v>
      </c>
      <c r="N141" s="26"/>
      <c r="P141" s="261"/>
    </row>
    <row r="142" spans="2:16" ht="18" customHeight="1">
      <c r="B142" s="37"/>
      <c r="C142" s="38"/>
      <c r="D142" s="38"/>
      <c r="E142" s="325"/>
      <c r="F142" s="38"/>
      <c r="G142" s="38"/>
      <c r="H142" s="38"/>
      <c r="I142" s="38"/>
      <c r="J142" s="38"/>
      <c r="K142" s="38"/>
      <c r="L142" s="38"/>
      <c r="M142" s="38"/>
      <c r="N142" s="27"/>
      <c r="P142" s="261"/>
    </row>
    <row r="143" spans="2:16" ht="18" customHeight="1">
      <c r="E143" s="324"/>
      <c r="P143" s="261"/>
    </row>
    <row r="144" spans="2:16" ht="18" customHeight="1">
      <c r="E144" s="324"/>
      <c r="P144" s="261"/>
    </row>
    <row r="145" spans="2:16" ht="18" customHeight="1">
      <c r="E145" s="324"/>
      <c r="P145" s="261"/>
    </row>
    <row r="146" spans="2:16" ht="18" customHeight="1">
      <c r="B146" s="615" t="s">
        <v>215</v>
      </c>
      <c r="C146" s="616"/>
      <c r="D146" s="616"/>
      <c r="E146" s="616"/>
      <c r="F146" s="616"/>
      <c r="G146" s="616"/>
      <c r="H146" s="616"/>
      <c r="I146" s="616"/>
      <c r="J146" s="616"/>
      <c r="K146" s="616"/>
      <c r="L146" s="616"/>
      <c r="M146" s="616"/>
      <c r="N146" s="617"/>
      <c r="P146" s="261"/>
    </row>
    <row r="147" spans="2:16" ht="18" customHeight="1">
      <c r="B147" s="618" t="s">
        <v>786</v>
      </c>
      <c r="C147" s="619"/>
      <c r="D147" s="619"/>
      <c r="E147" s="619"/>
      <c r="F147" s="619"/>
      <c r="G147" s="619"/>
      <c r="H147" s="619"/>
      <c r="I147" s="619"/>
      <c r="J147" s="619"/>
      <c r="K147" s="619"/>
      <c r="L147" s="619"/>
      <c r="M147" s="619"/>
      <c r="N147" s="620"/>
      <c r="P147" s="261"/>
    </row>
    <row r="148" spans="2:16" ht="18" customHeight="1">
      <c r="B148" s="24"/>
      <c r="C148" s="25" t="s">
        <v>0</v>
      </c>
      <c r="D148" s="25"/>
      <c r="E148" s="321"/>
      <c r="N148" s="26"/>
      <c r="P148" s="261"/>
    </row>
    <row r="149" spans="2:16" ht="36.75" customHeight="1" thickBot="1">
      <c r="B149" s="537" t="s">
        <v>1</v>
      </c>
      <c r="C149" s="478" t="s">
        <v>2</v>
      </c>
      <c r="D149" s="478"/>
      <c r="E149" s="479"/>
      <c r="F149" s="478" t="s">
        <v>3</v>
      </c>
      <c r="G149" s="478" t="s">
        <v>4</v>
      </c>
      <c r="H149" s="478" t="s">
        <v>5</v>
      </c>
      <c r="I149" s="478" t="s">
        <v>48</v>
      </c>
      <c r="J149" s="478" t="s">
        <v>605</v>
      </c>
      <c r="K149" s="478" t="s">
        <v>47</v>
      </c>
      <c r="L149" s="478" t="s">
        <v>6</v>
      </c>
      <c r="M149" s="478" t="s">
        <v>7</v>
      </c>
      <c r="N149" s="480" t="s">
        <v>29</v>
      </c>
      <c r="P149" s="261"/>
    </row>
    <row r="150" spans="2:16" ht="18" customHeight="1" thickTop="1">
      <c r="B150" s="30" t="s">
        <v>26</v>
      </c>
      <c r="E150" s="323"/>
      <c r="N150" s="26"/>
      <c r="P150" s="261"/>
    </row>
    <row r="151" spans="2:16" ht="30" customHeight="1">
      <c r="B151" s="16" t="s">
        <v>403</v>
      </c>
      <c r="C151" s="3" t="s">
        <v>679</v>
      </c>
      <c r="D151" s="8" t="s">
        <v>264</v>
      </c>
      <c r="E151" s="320">
        <f>6376/2</f>
        <v>3188</v>
      </c>
      <c r="F151" s="9">
        <v>3316</v>
      </c>
      <c r="G151" s="9">
        <v>0</v>
      </c>
      <c r="H151" s="9">
        <f>F151</f>
        <v>3316</v>
      </c>
      <c r="I151" s="11"/>
      <c r="J151" s="11"/>
      <c r="K151" s="9">
        <v>97</v>
      </c>
      <c r="L151" s="9">
        <f>K151</f>
        <v>97</v>
      </c>
      <c r="M151" s="9">
        <f>H151+I151-L151-J151</f>
        <v>3219</v>
      </c>
      <c r="N151" s="27"/>
      <c r="P151" s="261"/>
    </row>
    <row r="152" spans="2:16" ht="30" customHeight="1">
      <c r="B152" s="16" t="s">
        <v>404</v>
      </c>
      <c r="C152" s="3" t="s">
        <v>628</v>
      </c>
      <c r="D152" s="8" t="s">
        <v>265</v>
      </c>
      <c r="E152" s="320">
        <f>10384/2</f>
        <v>5192</v>
      </c>
      <c r="F152" s="9">
        <v>5400</v>
      </c>
      <c r="G152" s="9">
        <v>0</v>
      </c>
      <c r="H152" s="9">
        <f>F152</f>
        <v>5400</v>
      </c>
      <c r="I152" s="9"/>
      <c r="J152" s="9"/>
      <c r="K152" s="9">
        <v>481</v>
      </c>
      <c r="L152" s="9">
        <f>K152</f>
        <v>481</v>
      </c>
      <c r="M152" s="9">
        <f>H152+I152-L152-J152</f>
        <v>4919</v>
      </c>
      <c r="N152" s="26"/>
      <c r="P152" s="261"/>
    </row>
    <row r="153" spans="2:16" s="21" customFormat="1" ht="30" customHeight="1" thickBot="1">
      <c r="B153" s="28" t="s">
        <v>9</v>
      </c>
      <c r="C153" s="29"/>
      <c r="D153" s="29"/>
      <c r="E153" s="322"/>
      <c r="F153" s="533">
        <f>SUM(F151:F152)</f>
        <v>8716</v>
      </c>
      <c r="G153" s="533">
        <f t="shared" ref="G153:I153" si="36">SUM(G151:G152)</f>
        <v>0</v>
      </c>
      <c r="H153" s="533">
        <f>SUM(H151:H152)</f>
        <v>8716</v>
      </c>
      <c r="I153" s="533">
        <f t="shared" si="36"/>
        <v>0</v>
      </c>
      <c r="J153" s="533">
        <f>SUM(J151:J152)</f>
        <v>0</v>
      </c>
      <c r="K153" s="533">
        <f>SUM(K151:K152)</f>
        <v>578</v>
      </c>
      <c r="L153" s="533">
        <f>SUM(L151:L152)</f>
        <v>578</v>
      </c>
      <c r="M153" s="212">
        <f>SUM(M151:M152)</f>
        <v>8138</v>
      </c>
      <c r="N153" s="581"/>
      <c r="O153" s="258">
        <f>H153+I153-L153</f>
        <v>8138</v>
      </c>
      <c r="P153" s="261">
        <f t="shared" si="35"/>
        <v>0</v>
      </c>
    </row>
    <row r="154" spans="2:16" ht="18" customHeight="1" thickTop="1">
      <c r="B154" s="24"/>
      <c r="E154" s="323"/>
      <c r="F154" s="12"/>
      <c r="G154" s="12"/>
      <c r="H154" s="12"/>
      <c r="I154" s="13"/>
      <c r="J154" s="13"/>
      <c r="K154" s="12"/>
      <c r="L154" s="12"/>
      <c r="M154" s="14" t="s">
        <v>51</v>
      </c>
      <c r="N154" s="26"/>
      <c r="P154" s="261"/>
    </row>
    <row r="155" spans="2:16" ht="18" customHeight="1">
      <c r="B155" s="24"/>
      <c r="E155" s="323"/>
      <c r="N155" s="26"/>
      <c r="P155" s="261"/>
    </row>
    <row r="156" spans="2:16" ht="18" customHeight="1">
      <c r="B156" s="30" t="s">
        <v>581</v>
      </c>
      <c r="E156" s="323"/>
      <c r="N156" s="26"/>
      <c r="P156" s="261"/>
    </row>
    <row r="157" spans="2:16" ht="30" customHeight="1">
      <c r="B157" s="16" t="s">
        <v>405</v>
      </c>
      <c r="C157" s="3" t="s">
        <v>655</v>
      </c>
      <c r="D157" s="8" t="s">
        <v>266</v>
      </c>
      <c r="E157" s="320">
        <f>13508/2</f>
        <v>6754</v>
      </c>
      <c r="F157" s="400">
        <v>7024</v>
      </c>
      <c r="G157" s="22">
        <v>0</v>
      </c>
      <c r="H157" s="22">
        <f>F157</f>
        <v>7024</v>
      </c>
      <c r="I157" s="22"/>
      <c r="J157" s="22"/>
      <c r="K157" s="22">
        <v>780</v>
      </c>
      <c r="L157" s="22">
        <f>K157</f>
        <v>780</v>
      </c>
      <c r="M157" s="22">
        <f>H157+I157-L157-J157</f>
        <v>6244</v>
      </c>
      <c r="N157" s="27"/>
      <c r="P157" s="261"/>
    </row>
    <row r="158" spans="2:16" s="21" customFormat="1" ht="30" customHeight="1" thickBot="1">
      <c r="B158" s="28" t="s">
        <v>9</v>
      </c>
      <c r="C158" s="29"/>
      <c r="D158" s="29"/>
      <c r="E158" s="322"/>
      <c r="F158" s="584">
        <f>SUM(F157)</f>
        <v>7024</v>
      </c>
      <c r="G158" s="584">
        <f t="shared" ref="G158:M158" si="37">SUM(G157)</f>
        <v>0</v>
      </c>
      <c r="H158" s="584">
        <f>SUM(H157)</f>
        <v>7024</v>
      </c>
      <c r="I158" s="584">
        <f t="shared" si="37"/>
        <v>0</v>
      </c>
      <c r="J158" s="584">
        <f>SUM(J157)</f>
        <v>0</v>
      </c>
      <c r="K158" s="584">
        <f>SUM(K157)</f>
        <v>780</v>
      </c>
      <c r="L158" s="584">
        <f>SUM(L157)</f>
        <v>780</v>
      </c>
      <c r="M158" s="566">
        <f t="shared" si="37"/>
        <v>6244</v>
      </c>
      <c r="N158" s="583"/>
      <c r="O158" s="261">
        <f>H158+I158-L158</f>
        <v>6244</v>
      </c>
      <c r="P158" s="261">
        <f t="shared" si="35"/>
        <v>0</v>
      </c>
    </row>
    <row r="159" spans="2:16" ht="18" customHeight="1" thickTop="1">
      <c r="B159" s="24"/>
      <c r="E159" s="323"/>
      <c r="F159" s="12"/>
      <c r="G159" s="12"/>
      <c r="H159" s="12"/>
      <c r="I159" s="12"/>
      <c r="J159" s="12"/>
      <c r="K159" s="12"/>
      <c r="L159" s="12"/>
      <c r="M159" s="14" t="s">
        <v>51</v>
      </c>
      <c r="N159" s="26"/>
      <c r="P159" s="261"/>
    </row>
    <row r="160" spans="2:16" ht="18" customHeight="1">
      <c r="B160" s="24"/>
      <c r="E160" s="323"/>
      <c r="F160" s="12"/>
      <c r="G160" s="12"/>
      <c r="H160" s="12"/>
      <c r="I160" s="12"/>
      <c r="J160" s="12"/>
      <c r="K160" s="12"/>
      <c r="L160" s="12"/>
      <c r="M160" s="14"/>
      <c r="N160" s="26"/>
      <c r="P160" s="261"/>
    </row>
    <row r="161" spans="2:16" ht="18" customHeight="1">
      <c r="B161" s="615" t="s">
        <v>215</v>
      </c>
      <c r="C161" s="616"/>
      <c r="D161" s="616"/>
      <c r="E161" s="616"/>
      <c r="F161" s="616"/>
      <c r="G161" s="616"/>
      <c r="H161" s="616"/>
      <c r="I161" s="616"/>
      <c r="J161" s="616"/>
      <c r="K161" s="616"/>
      <c r="L161" s="616"/>
      <c r="M161" s="616"/>
      <c r="N161" s="617"/>
      <c r="P161" s="261"/>
    </row>
    <row r="162" spans="2:16" ht="18" customHeight="1">
      <c r="B162" s="618" t="s">
        <v>786</v>
      </c>
      <c r="C162" s="619"/>
      <c r="D162" s="619"/>
      <c r="E162" s="619"/>
      <c r="F162" s="619"/>
      <c r="G162" s="619"/>
      <c r="H162" s="619"/>
      <c r="I162" s="619"/>
      <c r="J162" s="619"/>
      <c r="K162" s="619"/>
      <c r="L162" s="619"/>
      <c r="M162" s="619"/>
      <c r="N162" s="620"/>
      <c r="P162" s="261"/>
    </row>
    <row r="163" spans="2:16" ht="18" customHeight="1">
      <c r="B163" s="24"/>
      <c r="C163" s="25" t="s">
        <v>0</v>
      </c>
      <c r="D163" s="25"/>
      <c r="E163" s="321"/>
      <c r="N163" s="26"/>
      <c r="P163" s="261"/>
    </row>
    <row r="164" spans="2:16" ht="18" customHeight="1">
      <c r="B164" s="30" t="s">
        <v>622</v>
      </c>
      <c r="E164" s="323"/>
      <c r="N164" s="26"/>
      <c r="P164" s="261"/>
    </row>
    <row r="165" spans="2:16" ht="30" customHeight="1">
      <c r="B165" s="16" t="s">
        <v>406</v>
      </c>
      <c r="C165" s="3" t="s">
        <v>49</v>
      </c>
      <c r="D165" s="8" t="s">
        <v>267</v>
      </c>
      <c r="E165" s="320">
        <f>13768/2</f>
        <v>6884</v>
      </c>
      <c r="F165" s="9">
        <v>7159</v>
      </c>
      <c r="G165" s="9">
        <v>0</v>
      </c>
      <c r="H165" s="9">
        <f>F165</f>
        <v>7159</v>
      </c>
      <c r="I165" s="9"/>
      <c r="J165" s="9"/>
      <c r="K165" s="9">
        <v>809</v>
      </c>
      <c r="L165" s="9">
        <f>J165+K165</f>
        <v>809</v>
      </c>
      <c r="M165" s="9">
        <f>H165-L165</f>
        <v>6350</v>
      </c>
      <c r="N165" s="27"/>
      <c r="P165" s="261"/>
    </row>
    <row r="166" spans="2:16" s="21" customFormat="1" ht="30" customHeight="1" thickBot="1">
      <c r="B166" s="28" t="s">
        <v>9</v>
      </c>
      <c r="C166" s="29"/>
      <c r="D166" s="29"/>
      <c r="E166" s="326"/>
      <c r="F166" s="533">
        <f>SUM(F165)</f>
        <v>7159</v>
      </c>
      <c r="G166" s="533">
        <f t="shared" ref="G166:I166" si="38">SUM(G165)</f>
        <v>0</v>
      </c>
      <c r="H166" s="533">
        <f>SUM(H165)</f>
        <v>7159</v>
      </c>
      <c r="I166" s="533">
        <f t="shared" si="38"/>
        <v>0</v>
      </c>
      <c r="J166" s="533">
        <f>SUM(J165)</f>
        <v>0</v>
      </c>
      <c r="K166" s="533">
        <f>SUM(K165)</f>
        <v>809</v>
      </c>
      <c r="L166" s="533">
        <f>SUM(L165)</f>
        <v>809</v>
      </c>
      <c r="M166" s="212">
        <f>SUM(M165)</f>
        <v>6350</v>
      </c>
      <c r="N166" s="583"/>
      <c r="O166" s="258">
        <f>H166+I166-L166</f>
        <v>6350</v>
      </c>
      <c r="P166" s="261">
        <f t="shared" si="35"/>
        <v>0</v>
      </c>
    </row>
    <row r="167" spans="2:16" ht="18" customHeight="1" thickTop="1">
      <c r="B167" s="37"/>
      <c r="C167" s="38"/>
      <c r="D167" s="38"/>
      <c r="E167" s="327"/>
      <c r="F167" s="39"/>
      <c r="G167" s="39"/>
      <c r="H167" s="39"/>
      <c r="I167" s="39"/>
      <c r="J167" s="39"/>
      <c r="K167" s="39"/>
      <c r="L167" s="39"/>
      <c r="M167" s="40" t="s">
        <v>51</v>
      </c>
      <c r="N167" s="27"/>
      <c r="P167" s="261"/>
    </row>
    <row r="168" spans="2:16" ht="18" customHeight="1">
      <c r="P168" s="261"/>
    </row>
    <row r="169" spans="2:16" ht="18" customHeight="1">
      <c r="B169" s="30" t="s">
        <v>582</v>
      </c>
      <c r="E169" s="323"/>
      <c r="N169" s="26"/>
      <c r="P169" s="261"/>
    </row>
    <row r="170" spans="2:16" ht="18" customHeight="1">
      <c r="B170" s="16" t="s">
        <v>407</v>
      </c>
      <c r="C170" s="3" t="s">
        <v>412</v>
      </c>
      <c r="D170" s="8" t="s">
        <v>413</v>
      </c>
      <c r="E170" s="320">
        <f>12210/2</f>
        <v>6105</v>
      </c>
      <c r="F170" s="9">
        <v>6349</v>
      </c>
      <c r="G170" s="9">
        <v>0</v>
      </c>
      <c r="H170" s="9">
        <f>F170</f>
        <v>6349</v>
      </c>
      <c r="I170" s="9"/>
      <c r="J170" s="9"/>
      <c r="K170" s="9">
        <v>647</v>
      </c>
      <c r="L170" s="9">
        <f>K170</f>
        <v>647</v>
      </c>
      <c r="M170" s="9">
        <f>H170+I170-L170-J170</f>
        <v>5702</v>
      </c>
      <c r="N170" s="42"/>
      <c r="P170" s="261"/>
    </row>
    <row r="171" spans="2:16" ht="18" customHeight="1" thickBot="1">
      <c r="B171" s="28" t="s">
        <v>9</v>
      </c>
      <c r="C171" s="29"/>
      <c r="D171" s="29"/>
      <c r="E171" s="322"/>
      <c r="F171" s="533">
        <f t="shared" ref="F171:I171" si="39">SUM(F170:F170)</f>
        <v>6349</v>
      </c>
      <c r="G171" s="533">
        <f t="shared" si="39"/>
        <v>0</v>
      </c>
      <c r="H171" s="533">
        <f>SUM(H170:H170)</f>
        <v>6349</v>
      </c>
      <c r="I171" s="533">
        <f t="shared" si="39"/>
        <v>0</v>
      </c>
      <c r="J171" s="533">
        <f>SUM(J170)</f>
        <v>0</v>
      </c>
      <c r="K171" s="533">
        <f>SUM(K170:K170)</f>
        <v>647</v>
      </c>
      <c r="L171" s="533">
        <f>SUM(L170:L170)</f>
        <v>647</v>
      </c>
      <c r="M171" s="212">
        <f>SUM(M170:M170)</f>
        <v>5702</v>
      </c>
      <c r="N171" s="583"/>
      <c r="O171" s="257">
        <f>H171+I171-L171</f>
        <v>5702</v>
      </c>
      <c r="P171" s="261">
        <f t="shared" si="35"/>
        <v>0</v>
      </c>
    </row>
    <row r="172" spans="2:16" ht="18" customHeight="1" thickTop="1">
      <c r="B172" s="37"/>
      <c r="C172" s="38"/>
      <c r="D172" s="38"/>
      <c r="E172" s="325"/>
      <c r="F172" s="39"/>
      <c r="G172" s="39"/>
      <c r="H172" s="39"/>
      <c r="I172" s="41"/>
      <c r="J172" s="41"/>
      <c r="K172" s="39"/>
      <c r="L172" s="39"/>
      <c r="M172" s="40" t="s">
        <v>51</v>
      </c>
      <c r="N172" s="27"/>
      <c r="P172" s="261"/>
    </row>
    <row r="173" spans="2:16" ht="18" customHeight="1">
      <c r="B173" s="24"/>
      <c r="C173" s="25" t="s">
        <v>0</v>
      </c>
      <c r="D173" s="25"/>
      <c r="E173" s="321"/>
      <c r="N173" s="26"/>
      <c r="P173" s="261"/>
    </row>
    <row r="174" spans="2:16" ht="36.75" customHeight="1" thickBot="1">
      <c r="B174" s="537" t="s">
        <v>1</v>
      </c>
      <c r="C174" s="478" t="s">
        <v>2</v>
      </c>
      <c r="D174" s="478"/>
      <c r="E174" s="479"/>
      <c r="F174" s="478" t="s">
        <v>3</v>
      </c>
      <c r="G174" s="478" t="s">
        <v>4</v>
      </c>
      <c r="H174" s="478" t="s">
        <v>5</v>
      </c>
      <c r="I174" s="478" t="s">
        <v>48</v>
      </c>
      <c r="J174" s="478" t="s">
        <v>605</v>
      </c>
      <c r="K174" s="478" t="s">
        <v>47</v>
      </c>
      <c r="L174" s="478" t="s">
        <v>6</v>
      </c>
      <c r="M174" s="478" t="s">
        <v>7</v>
      </c>
      <c r="N174" s="480" t="s">
        <v>29</v>
      </c>
      <c r="P174" s="261"/>
    </row>
    <row r="175" spans="2:16" ht="18" customHeight="1" thickTop="1">
      <c r="B175" s="30" t="s">
        <v>583</v>
      </c>
      <c r="E175" s="329"/>
      <c r="N175" s="26"/>
      <c r="P175" s="261"/>
    </row>
    <row r="176" spans="2:16" ht="30" customHeight="1">
      <c r="B176" s="16" t="s">
        <v>408</v>
      </c>
      <c r="C176" s="3" t="s">
        <v>627</v>
      </c>
      <c r="D176" s="8" t="s">
        <v>244</v>
      </c>
      <c r="E176" s="320">
        <f>10384/2</f>
        <v>5192</v>
      </c>
      <c r="F176" s="9">
        <v>5400</v>
      </c>
      <c r="G176" s="9">
        <v>0</v>
      </c>
      <c r="H176" s="9">
        <f>F176</f>
        <v>5400</v>
      </c>
      <c r="I176" s="9"/>
      <c r="J176" s="9"/>
      <c r="K176" s="9">
        <v>481</v>
      </c>
      <c r="L176" s="9">
        <f>K176</f>
        <v>481</v>
      </c>
      <c r="M176" s="9">
        <f>H176+I176-L176-J176</f>
        <v>4919</v>
      </c>
      <c r="N176" s="33"/>
      <c r="P176" s="261"/>
    </row>
    <row r="177" spans="2:17" s="21" customFormat="1" ht="30" customHeight="1" thickBot="1">
      <c r="B177" s="28" t="s">
        <v>9</v>
      </c>
      <c r="C177" s="29"/>
      <c r="D177" s="29"/>
      <c r="E177" s="326"/>
      <c r="F177" s="582">
        <f>SUM(F176)</f>
        <v>5400</v>
      </c>
      <c r="G177" s="582">
        <f t="shared" ref="G177:I177" si="40">SUM(G176)</f>
        <v>0</v>
      </c>
      <c r="H177" s="582">
        <f>SUM(H176)</f>
        <v>5400</v>
      </c>
      <c r="I177" s="582">
        <f t="shared" si="40"/>
        <v>0</v>
      </c>
      <c r="J177" s="582">
        <f>SUM(J176)</f>
        <v>0</v>
      </c>
      <c r="K177" s="582">
        <f>SUM(K176)</f>
        <v>481</v>
      </c>
      <c r="L177" s="582">
        <f>SUM(L176)</f>
        <v>481</v>
      </c>
      <c r="M177" s="567">
        <f>SUM(M176)</f>
        <v>4919</v>
      </c>
      <c r="N177" s="581"/>
      <c r="O177" s="258">
        <f>H177+I177-L177</f>
        <v>4919</v>
      </c>
      <c r="P177" s="261">
        <f t="shared" ref="P177" si="41">M177-O177</f>
        <v>0</v>
      </c>
    </row>
    <row r="178" spans="2:17" ht="18" customHeight="1" thickTop="1">
      <c r="B178" s="24"/>
      <c r="E178" s="329"/>
      <c r="F178" s="12"/>
      <c r="G178" s="12"/>
      <c r="H178" s="12"/>
      <c r="I178" s="12"/>
      <c r="J178" s="12"/>
      <c r="K178" s="12"/>
      <c r="L178" s="12"/>
      <c r="M178" s="12"/>
      <c r="N178" s="26"/>
      <c r="P178" s="261"/>
    </row>
    <row r="179" spans="2:17" ht="18" customHeight="1">
      <c r="B179" s="24"/>
      <c r="C179" s="25" t="s">
        <v>0</v>
      </c>
      <c r="D179" s="25"/>
      <c r="E179" s="321"/>
      <c r="N179" s="26"/>
      <c r="P179" s="261"/>
    </row>
    <row r="180" spans="2:17" ht="25.5" customHeight="1" thickBot="1">
      <c r="B180" s="537" t="s">
        <v>1</v>
      </c>
      <c r="C180" s="478" t="s">
        <v>2</v>
      </c>
      <c r="D180" s="478"/>
      <c r="E180" s="479"/>
      <c r="F180" s="478" t="s">
        <v>3</v>
      </c>
      <c r="G180" s="478" t="s">
        <v>4</v>
      </c>
      <c r="H180" s="478" t="s">
        <v>5</v>
      </c>
      <c r="I180" s="478" t="s">
        <v>48</v>
      </c>
      <c r="J180" s="478" t="s">
        <v>605</v>
      </c>
      <c r="K180" s="478" t="s">
        <v>47</v>
      </c>
      <c r="L180" s="478" t="s">
        <v>6</v>
      </c>
      <c r="M180" s="478" t="s">
        <v>7</v>
      </c>
      <c r="N180" s="480" t="s">
        <v>29</v>
      </c>
      <c r="P180" s="261"/>
    </row>
    <row r="181" spans="2:17" s="21" customFormat="1" ht="18.75" customHeight="1" thickTop="1">
      <c r="B181" s="30" t="s">
        <v>584</v>
      </c>
      <c r="C181" s="15"/>
      <c r="D181" s="15"/>
      <c r="E181" s="329"/>
      <c r="F181" s="15"/>
      <c r="G181" s="15"/>
      <c r="H181" s="15"/>
      <c r="I181" s="15"/>
      <c r="J181" s="15"/>
      <c r="K181" s="15"/>
      <c r="L181" s="15"/>
      <c r="M181" s="15"/>
      <c r="N181" s="36"/>
      <c r="P181" s="261"/>
    </row>
    <row r="182" spans="2:17" s="21" customFormat="1" ht="18.75" customHeight="1">
      <c r="B182" s="16" t="s">
        <v>409</v>
      </c>
      <c r="C182" s="219" t="s">
        <v>467</v>
      </c>
      <c r="D182" s="8" t="s">
        <v>576</v>
      </c>
      <c r="E182" s="330">
        <f>12210/2</f>
        <v>6105</v>
      </c>
      <c r="F182" s="400">
        <v>7007</v>
      </c>
      <c r="G182" s="22">
        <v>0</v>
      </c>
      <c r="H182" s="22">
        <f>F182</f>
        <v>7007</v>
      </c>
      <c r="I182" s="22"/>
      <c r="J182" s="400"/>
      <c r="K182" s="22">
        <v>776</v>
      </c>
      <c r="L182" s="22">
        <f>J182+K182</f>
        <v>776</v>
      </c>
      <c r="M182" s="22">
        <f>H182-L182</f>
        <v>6231</v>
      </c>
      <c r="N182" s="36"/>
      <c r="P182" s="261"/>
    </row>
    <row r="183" spans="2:17" s="21" customFormat="1" ht="18.75" customHeight="1">
      <c r="B183" s="30"/>
      <c r="C183" s="15"/>
      <c r="D183" s="15"/>
      <c r="E183" s="329"/>
      <c r="F183" s="579">
        <f>F182</f>
        <v>7007</v>
      </c>
      <c r="G183" s="580">
        <f>SUM(G182)</f>
        <v>0</v>
      </c>
      <c r="H183" s="579">
        <f>SUM(H182)</f>
        <v>7007</v>
      </c>
      <c r="I183" s="579">
        <f t="shared" ref="I183:L183" si="42">SUM(I182)</f>
        <v>0</v>
      </c>
      <c r="J183" s="579">
        <f>SUM(J182)</f>
        <v>0</v>
      </c>
      <c r="K183" s="579">
        <f>SUM(K182)</f>
        <v>776</v>
      </c>
      <c r="L183" s="579">
        <f t="shared" si="42"/>
        <v>776</v>
      </c>
      <c r="M183" s="568">
        <f>M182</f>
        <v>6231</v>
      </c>
      <c r="N183" s="581"/>
      <c r="O183" s="261">
        <f>H183+I183-L183</f>
        <v>6231</v>
      </c>
      <c r="P183" s="261">
        <f>M183-O183</f>
        <v>0</v>
      </c>
      <c r="Q183" s="261"/>
    </row>
    <row r="184" spans="2:17" s="21" customFormat="1" ht="18.75" customHeight="1">
      <c r="B184" s="24"/>
      <c r="C184" s="25" t="s">
        <v>0</v>
      </c>
      <c r="D184" s="25"/>
      <c r="E184" s="321"/>
      <c r="F184" s="15"/>
      <c r="G184" s="15"/>
      <c r="H184" s="15"/>
      <c r="I184" s="15"/>
      <c r="J184" s="15"/>
      <c r="K184" s="15"/>
      <c r="L184" s="15"/>
      <c r="M184" s="15"/>
      <c r="N184" s="26"/>
      <c r="O184" s="261"/>
      <c r="P184" s="261"/>
      <c r="Q184" s="261"/>
    </row>
    <row r="185" spans="2:17" s="21" customFormat="1" ht="26.25" customHeight="1" thickBot="1">
      <c r="B185" s="537" t="s">
        <v>1</v>
      </c>
      <c r="C185" s="478" t="s">
        <v>2</v>
      </c>
      <c r="D185" s="478"/>
      <c r="E185" s="479"/>
      <c r="F185" s="478" t="s">
        <v>3</v>
      </c>
      <c r="G185" s="478" t="s">
        <v>4</v>
      </c>
      <c r="H185" s="478" t="s">
        <v>5</v>
      </c>
      <c r="I185" s="478" t="s">
        <v>48</v>
      </c>
      <c r="J185" s="478" t="s">
        <v>605</v>
      </c>
      <c r="K185" s="478" t="s">
        <v>47</v>
      </c>
      <c r="L185" s="478" t="s">
        <v>6</v>
      </c>
      <c r="M185" s="478" t="s">
        <v>7</v>
      </c>
      <c r="N185" s="480" t="s">
        <v>29</v>
      </c>
      <c r="O185" s="261"/>
      <c r="P185" s="261"/>
      <c r="Q185" s="261"/>
    </row>
    <row r="186" spans="2:17" s="21" customFormat="1" ht="18.75" customHeight="1" thickTop="1">
      <c r="B186" s="635" t="s">
        <v>596</v>
      </c>
      <c r="C186" s="636"/>
      <c r="D186" s="270"/>
      <c r="E186" s="331"/>
      <c r="F186" s="270"/>
      <c r="G186" s="271"/>
      <c r="H186" s="271"/>
      <c r="I186" s="270"/>
      <c r="J186" s="270"/>
      <c r="K186" s="270"/>
      <c r="L186" s="271"/>
      <c r="M186" s="272"/>
      <c r="N186" s="273"/>
      <c r="O186" s="261"/>
      <c r="P186" s="261"/>
      <c r="Q186" s="261"/>
    </row>
    <row r="187" spans="2:17" s="21" customFormat="1" ht="18.75" customHeight="1">
      <c r="B187" s="16" t="s">
        <v>410</v>
      </c>
      <c r="C187" s="251" t="s">
        <v>607</v>
      </c>
      <c r="D187" s="276" t="s">
        <v>200</v>
      </c>
      <c r="E187" s="332">
        <f>10384/2</f>
        <v>5192</v>
      </c>
      <c r="F187" s="274">
        <v>5400</v>
      </c>
      <c r="G187" s="3">
        <v>0</v>
      </c>
      <c r="H187" s="274">
        <f>F187</f>
        <v>5400</v>
      </c>
      <c r="I187" s="3"/>
      <c r="J187" s="3"/>
      <c r="K187" s="3">
        <v>481</v>
      </c>
      <c r="L187" s="3">
        <f>K187</f>
        <v>481</v>
      </c>
      <c r="M187" s="274">
        <f>F187-L187-J187</f>
        <v>4919</v>
      </c>
      <c r="N187" s="275"/>
    </row>
    <row r="188" spans="2:17" s="21" customFormat="1" ht="18.75" customHeight="1" thickBot="1">
      <c r="B188" s="563"/>
      <c r="C188" s="242"/>
      <c r="D188" s="242"/>
      <c r="E188" s="564"/>
      <c r="F188" s="576">
        <f>F187</f>
        <v>5400</v>
      </c>
      <c r="G188" s="572">
        <f>SUM(G187)</f>
        <v>0</v>
      </c>
      <c r="H188" s="576">
        <f>H187</f>
        <v>5400</v>
      </c>
      <c r="I188" s="572"/>
      <c r="J188" s="577">
        <f>SUM(J187)</f>
        <v>0</v>
      </c>
      <c r="K188" s="572">
        <f>K187</f>
        <v>481</v>
      </c>
      <c r="L188" s="572">
        <f>L187</f>
        <v>481</v>
      </c>
      <c r="M188" s="569">
        <f>M187</f>
        <v>4919</v>
      </c>
      <c r="N188" s="578"/>
      <c r="O188" s="261">
        <f>M188</f>
        <v>4919</v>
      </c>
    </row>
    <row r="189" spans="2:17" s="21" customFormat="1" ht="18.75" customHeight="1" thickTop="1">
      <c r="B189" s="30"/>
      <c r="C189"/>
      <c r="D189"/>
      <c r="E189" s="333"/>
      <c r="F189" s="256"/>
      <c r="G189" s="15"/>
      <c r="H189" s="256"/>
      <c r="I189" s="15"/>
      <c r="J189" s="419"/>
      <c r="K189" s="15"/>
      <c r="L189" s="15"/>
      <c r="M189" s="256"/>
      <c r="N189" s="36"/>
      <c r="O189" s="261"/>
    </row>
    <row r="190" spans="2:17" s="21" customFormat="1" ht="18.75" customHeight="1">
      <c r="B190" s="24"/>
      <c r="C190" s="25" t="s">
        <v>0</v>
      </c>
      <c r="D190" s="25"/>
      <c r="E190" s="321"/>
      <c r="F190" s="15"/>
      <c r="G190" s="15"/>
      <c r="H190" s="15"/>
      <c r="I190" s="15"/>
      <c r="J190" s="15"/>
      <c r="K190" s="15"/>
      <c r="L190" s="15"/>
      <c r="M190" s="15"/>
      <c r="N190" s="26"/>
      <c r="O190" s="261"/>
    </row>
    <row r="191" spans="2:17" s="21" customFormat="1" ht="24.75" customHeight="1" thickBot="1">
      <c r="B191" s="537" t="s">
        <v>1</v>
      </c>
      <c r="C191" s="478" t="s">
        <v>2</v>
      </c>
      <c r="D191" s="478"/>
      <c r="E191" s="479"/>
      <c r="F191" s="478" t="s">
        <v>3</v>
      </c>
      <c r="G191" s="478" t="s">
        <v>4</v>
      </c>
      <c r="H191" s="478" t="s">
        <v>5</v>
      </c>
      <c r="I191" s="478" t="s">
        <v>48</v>
      </c>
      <c r="J191" s="478" t="s">
        <v>605</v>
      </c>
      <c r="K191" s="478" t="s">
        <v>47</v>
      </c>
      <c r="L191" s="478" t="s">
        <v>6</v>
      </c>
      <c r="M191" s="478" t="s">
        <v>7</v>
      </c>
      <c r="N191" s="480" t="s">
        <v>29</v>
      </c>
      <c r="O191" s="261"/>
    </row>
    <row r="192" spans="2:17" s="21" customFormat="1" ht="18.75" customHeight="1" thickTop="1">
      <c r="B192" s="635" t="s">
        <v>698</v>
      </c>
      <c r="C192" s="636"/>
      <c r="D192" s="270"/>
      <c r="E192" s="331"/>
      <c r="F192" s="270"/>
      <c r="G192" s="271"/>
      <c r="H192" s="271"/>
      <c r="I192" s="270"/>
      <c r="J192" s="270"/>
      <c r="K192" s="270"/>
      <c r="L192" s="271"/>
      <c r="M192" s="272"/>
      <c r="N192" s="273"/>
      <c r="O192" s="261"/>
    </row>
    <row r="193" spans="1:15" s="21" customFormat="1" ht="18.75" customHeight="1">
      <c r="B193" s="16" t="s">
        <v>411</v>
      </c>
      <c r="C193" s="251" t="s">
        <v>699</v>
      </c>
      <c r="D193" s="276" t="s">
        <v>200</v>
      </c>
      <c r="E193" s="332">
        <f>10384/2</f>
        <v>5192</v>
      </c>
      <c r="F193" s="274">
        <v>7282</v>
      </c>
      <c r="G193" s="3">
        <v>0</v>
      </c>
      <c r="H193" s="274">
        <f>F193</f>
        <v>7282</v>
      </c>
      <c r="I193" s="3"/>
      <c r="J193" s="3"/>
      <c r="K193" s="3">
        <v>835</v>
      </c>
      <c r="L193" s="3">
        <f>K193</f>
        <v>835</v>
      </c>
      <c r="M193" s="274">
        <f>F193-L193-J193</f>
        <v>6447</v>
      </c>
      <c r="N193" s="275"/>
      <c r="O193" s="261"/>
    </row>
    <row r="194" spans="1:15" s="21" customFormat="1" ht="18.75" customHeight="1" thickBot="1">
      <c r="B194" s="563"/>
      <c r="C194" s="242"/>
      <c r="D194" s="242"/>
      <c r="E194" s="564"/>
      <c r="F194" s="576">
        <f>F193</f>
        <v>7282</v>
      </c>
      <c r="G194" s="572">
        <f>SUM(G193)</f>
        <v>0</v>
      </c>
      <c r="H194" s="576">
        <f>H193</f>
        <v>7282</v>
      </c>
      <c r="I194" s="572"/>
      <c r="J194" s="577">
        <f>SUM(J193)</f>
        <v>0</v>
      </c>
      <c r="K194" s="572">
        <f>K193</f>
        <v>835</v>
      </c>
      <c r="L194" s="572">
        <f>L193</f>
        <v>835</v>
      </c>
      <c r="M194" s="576">
        <f>M193</f>
        <v>6447</v>
      </c>
      <c r="N194" s="578"/>
      <c r="O194" s="261"/>
    </row>
    <row r="195" spans="1:15" s="21" customFormat="1" ht="18.75" customHeight="1" thickTop="1">
      <c r="B195" s="30"/>
      <c r="C195"/>
      <c r="D195"/>
      <c r="E195" s="333"/>
      <c r="F195" s="256"/>
      <c r="G195" s="15"/>
      <c r="H195" s="256"/>
      <c r="I195" s="15"/>
      <c r="J195" s="419"/>
      <c r="K195" s="15"/>
      <c r="L195" s="15"/>
      <c r="M195" s="256"/>
      <c r="N195" s="36"/>
      <c r="O195" s="261"/>
    </row>
    <row r="196" spans="1:15" ht="30" customHeight="1" thickBot="1">
      <c r="B196" s="637" t="s">
        <v>27</v>
      </c>
      <c r="C196" s="638"/>
      <c r="D196" s="572"/>
      <c r="E196" s="573"/>
      <c r="F196" s="574">
        <f>F9+F14+F18+F24+F34+F39+F47+F53+F63+F70+F75+F93+F98+F103+F116+F122+F140+F153+F158+F166+F171+F177+F183+F188+F194</f>
        <v>306450</v>
      </c>
      <c r="G196" s="574">
        <f>G9+G14+G18+G24+G34+G39+G47+G53+G63+G70+G75+G93+G98+G103+G116+G122+G140+G153+G158+G166+G171+G177</f>
        <v>0</v>
      </c>
      <c r="H196" s="574">
        <f>H9+H14+H18+H24+H34+H39+H47+H53+H63+H70+H75+H93+H98+H103+H116+H122+H140+H153+H158+H166+H171+H177+H183+H188+H194</f>
        <v>306450</v>
      </c>
      <c r="I196" s="574">
        <f>I9+I14+I18+I24+I34+I39+I47+I53+I63+I70+I75+I93+I98+I103+I116+I122+I140+I153+I158+I166+I171+I177+I183+I188+I194</f>
        <v>24.04</v>
      </c>
      <c r="J196" s="574">
        <f>J188+J183+J177+J171+J166+J158+J153+J140+J122+J116+J103+J98+J93+J75+J70+J63+J53+J47+J39+J34+J24+J18+J14+J9+J194</f>
        <v>1500</v>
      </c>
      <c r="K196" s="574">
        <f>K9+K14+K18+K24+K34+K39+K47+K53+K63+K70+K75+K93+K98+K103+K116+K122+K140+K153+K158+K166+K171+K177+K183+K188+K194</f>
        <v>31108</v>
      </c>
      <c r="L196" s="574">
        <f>L9+L14+L18+L24+L34+L39+L47+L53+L63+L70+L75+L93+L98+L103+L116+L122+L140+L153+L158+L166+L171+L177+L183+L188+L194</f>
        <v>32608</v>
      </c>
      <c r="M196" s="536">
        <f>M9+M14+M18+M24+M34+M39+M47+M53+M63+M70+M75+M93+M98+M103+M116+M122+M140+M153+M158+M166+M171+M177+M183+M188+M194</f>
        <v>273866.04000000004</v>
      </c>
      <c r="N196" s="575"/>
    </row>
    <row r="197" spans="1:15" ht="12" thickTop="1">
      <c r="B197" s="24"/>
      <c r="E197" s="329"/>
      <c r="M197" s="215"/>
      <c r="N197" s="26"/>
    </row>
    <row r="198" spans="1:15">
      <c r="B198" s="24"/>
      <c r="E198" s="329"/>
      <c r="N198" s="26"/>
    </row>
    <row r="199" spans="1:15">
      <c r="A199" s="26"/>
      <c r="C199" s="38"/>
      <c r="E199" s="329"/>
      <c r="F199" s="38" t="s">
        <v>28</v>
      </c>
      <c r="G199" s="38" t="s">
        <v>28</v>
      </c>
      <c r="H199" s="38"/>
      <c r="K199" s="15" t="s">
        <v>28</v>
      </c>
      <c r="L199" s="38" t="s">
        <v>28</v>
      </c>
      <c r="M199" s="38" t="s">
        <v>28</v>
      </c>
      <c r="N199" s="26"/>
    </row>
    <row r="200" spans="1:15" ht="12.75">
      <c r="B200" s="625" t="s">
        <v>759</v>
      </c>
      <c r="C200" s="626"/>
      <c r="D200" s="44"/>
      <c r="E200" s="334"/>
      <c r="F200" s="639" t="s">
        <v>45</v>
      </c>
      <c r="G200" s="639"/>
      <c r="H200" s="639"/>
      <c r="I200" s="150"/>
      <c r="J200" s="150"/>
      <c r="K200" s="46"/>
      <c r="L200" s="626" t="s">
        <v>615</v>
      </c>
      <c r="M200" s="626"/>
      <c r="N200" s="26"/>
    </row>
    <row r="201" spans="1:15">
      <c r="B201" s="627" t="s">
        <v>456</v>
      </c>
      <c r="C201" s="628"/>
      <c r="D201" s="47"/>
      <c r="E201" s="335"/>
      <c r="F201" s="628" t="s">
        <v>456</v>
      </c>
      <c r="G201" s="628"/>
      <c r="H201" s="628"/>
      <c r="I201" s="38"/>
      <c r="J201" s="47"/>
      <c r="K201" s="38"/>
      <c r="L201" s="628" t="s">
        <v>455</v>
      </c>
      <c r="M201" s="628"/>
      <c r="N201" s="27"/>
    </row>
    <row r="205" spans="1:15">
      <c r="C205" s="310"/>
    </row>
    <row r="206" spans="1:15">
      <c r="F206" s="256">
        <f>SUM(F183+F177+F171+F166+F158+F153+F140+F122+F103+F98+F116+F93+F75+F70+F63+F53+F47+F39+F34+F24+F18+F14+F9+F188+F194)</f>
        <v>306450</v>
      </c>
      <c r="K206" s="257">
        <f>H196+I196-L196</f>
        <v>273866.03999999998</v>
      </c>
      <c r="L206" s="257"/>
      <c r="M206" s="12">
        <f>F196+I196-K196-J196</f>
        <v>273866.03999999998</v>
      </c>
      <c r="O206" s="265">
        <f>SUM(O7:O201)</f>
        <v>267419.04000000004</v>
      </c>
    </row>
    <row r="207" spans="1:15">
      <c r="F207" s="446">
        <f>F196-H196</f>
        <v>0</v>
      </c>
      <c r="K207" s="446">
        <f>M196-K206</f>
        <v>0</v>
      </c>
      <c r="M207" s="447">
        <f>M196-M206</f>
        <v>0</v>
      </c>
    </row>
    <row r="208" spans="1:15">
      <c r="H208" s="256"/>
      <c r="M208" s="281">
        <f>SUM(M206:M207)</f>
        <v>273866.03999999998</v>
      </c>
    </row>
    <row r="209" spans="13:13">
      <c r="M209" s="257"/>
    </row>
    <row r="210" spans="13:13">
      <c r="M210" s="257"/>
    </row>
  </sheetData>
  <mergeCells count="27">
    <mergeCell ref="B129:N129"/>
    <mergeCell ref="B146:N146"/>
    <mergeCell ref="L201:M201"/>
    <mergeCell ref="B186:C186"/>
    <mergeCell ref="L200:M200"/>
    <mergeCell ref="B161:N161"/>
    <mergeCell ref="B162:N162"/>
    <mergeCell ref="B196:C196"/>
    <mergeCell ref="F201:H201"/>
    <mergeCell ref="F200:H200"/>
    <mergeCell ref="B192:C192"/>
    <mergeCell ref="C1:I1"/>
    <mergeCell ref="B200:C200"/>
    <mergeCell ref="B201:C201"/>
    <mergeCell ref="B2:N2"/>
    <mergeCell ref="B3:N3"/>
    <mergeCell ref="C26:I26"/>
    <mergeCell ref="B27:N27"/>
    <mergeCell ref="B28:N28"/>
    <mergeCell ref="B56:N56"/>
    <mergeCell ref="B57:N57"/>
    <mergeCell ref="B80:N80"/>
    <mergeCell ref="B81:N81"/>
    <mergeCell ref="B147:N147"/>
    <mergeCell ref="B106:N106"/>
    <mergeCell ref="B107:N107"/>
    <mergeCell ref="B128:N128"/>
  </mergeCells>
  <printOptions horizontalCentered="1"/>
  <pageMargins left="0.70866141732283472" right="0.70866141732283472" top="0.35433070866141736" bottom="0.55118110236220474" header="0.31496062992125984" footer="0.31496062992125984"/>
  <pageSetup paperSize="5" scale="77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V55"/>
  <sheetViews>
    <sheetView tabSelected="1" topLeftCell="A32" zoomScale="98" zoomScaleNormal="98" workbookViewId="0">
      <selection activeCell="F36" sqref="F36"/>
    </sheetView>
  </sheetViews>
  <sheetFormatPr baseColWidth="10" defaultRowHeight="11.25"/>
  <cols>
    <col min="1" max="1" width="8" style="104" customWidth="1"/>
    <col min="2" max="2" width="7.140625" style="104" customWidth="1"/>
    <col min="3" max="3" width="10.7109375" style="104" customWidth="1"/>
    <col min="4" max="4" width="9.85546875" style="104" customWidth="1"/>
    <col min="5" max="5" width="14.85546875" style="104" customWidth="1"/>
    <col min="6" max="6" width="11.28515625" style="104" bestFit="1" customWidth="1"/>
    <col min="7" max="7" width="9.140625" style="104" hidden="1" customWidth="1"/>
    <col min="8" max="8" width="5.140625" style="104" customWidth="1"/>
    <col min="9" max="9" width="13.42578125" style="104" customWidth="1"/>
    <col min="10" max="10" width="5.85546875" style="104" hidden="1" customWidth="1"/>
    <col min="11" max="11" width="13.28515625" style="104" customWidth="1"/>
    <col min="12" max="12" width="10.7109375" style="104" customWidth="1"/>
    <col min="13" max="13" width="11.5703125" style="104" customWidth="1"/>
    <col min="14" max="14" width="13" style="104" customWidth="1"/>
    <col min="15" max="15" width="12" style="104" customWidth="1"/>
    <col min="16" max="16" width="13.140625" style="104" customWidth="1"/>
    <col min="17" max="17" width="29.5703125" style="104" customWidth="1"/>
    <col min="18" max="18" width="25.85546875" style="104" customWidth="1"/>
    <col min="19" max="19" width="23.42578125" style="104" customWidth="1"/>
    <col min="20" max="20" width="20.140625" style="104" customWidth="1"/>
    <col min="21" max="22" width="11.42578125" style="104" customWidth="1"/>
    <col min="23" max="16384" width="11.42578125" style="104"/>
  </cols>
  <sheetData>
    <row r="2" spans="2:22">
      <c r="B2" s="10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3"/>
    </row>
    <row r="3" spans="2:22" ht="19.5">
      <c r="B3" s="646" t="s">
        <v>215</v>
      </c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8"/>
    </row>
    <row r="4" spans="2:22" ht="17.25">
      <c r="B4" s="649" t="s">
        <v>797</v>
      </c>
      <c r="C4" s="650"/>
      <c r="D4" s="650"/>
      <c r="E4" s="650"/>
      <c r="F4" s="650"/>
      <c r="G4" s="650"/>
      <c r="H4" s="650"/>
      <c r="I4" s="650"/>
      <c r="J4" s="650"/>
      <c r="K4" s="650"/>
      <c r="L4" s="650"/>
      <c r="M4" s="650"/>
      <c r="N4" s="650"/>
      <c r="O4" s="650"/>
      <c r="P4" s="650"/>
      <c r="Q4" s="651"/>
    </row>
    <row r="5" spans="2:22">
      <c r="B5" s="105"/>
      <c r="Q5" s="106"/>
    </row>
    <row r="6" spans="2:22">
      <c r="B6" s="105"/>
      <c r="Q6" s="106"/>
    </row>
    <row r="7" spans="2:22" ht="12.75">
      <c r="B7" s="107"/>
      <c r="C7" s="55" t="s">
        <v>0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108"/>
    </row>
    <row r="8" spans="2:22" s="109" customFormat="1" ht="12" customHeight="1">
      <c r="B8" s="481" t="s">
        <v>157</v>
      </c>
      <c r="C8" s="482">
        <v>0</v>
      </c>
      <c r="D8" s="482"/>
      <c r="E8" s="482"/>
      <c r="F8" s="482"/>
      <c r="G8" s="483" t="s">
        <v>28</v>
      </c>
      <c r="H8" s="482"/>
      <c r="I8" s="641" t="s">
        <v>60</v>
      </c>
      <c r="J8" s="642"/>
      <c r="K8" s="643"/>
      <c r="L8" s="484"/>
      <c r="M8" s="484"/>
      <c r="N8" s="641" t="s">
        <v>61</v>
      </c>
      <c r="O8" s="644"/>
      <c r="P8" s="484"/>
      <c r="Q8" s="652" t="s">
        <v>214</v>
      </c>
    </row>
    <row r="9" spans="2:22" s="109" customFormat="1" ht="12.75" customHeight="1">
      <c r="B9" s="485" t="s">
        <v>158</v>
      </c>
      <c r="C9" s="645" t="s">
        <v>52</v>
      </c>
      <c r="D9" s="645"/>
      <c r="E9" s="645"/>
      <c r="F9" s="486"/>
      <c r="G9" s="487"/>
      <c r="H9" s="488" t="s">
        <v>63</v>
      </c>
      <c r="I9" s="489" t="s">
        <v>3</v>
      </c>
      <c r="J9" s="490" t="s">
        <v>65</v>
      </c>
      <c r="K9" s="491" t="s">
        <v>159</v>
      </c>
      <c r="L9" s="490" t="s">
        <v>67</v>
      </c>
      <c r="M9" s="492" t="s">
        <v>605</v>
      </c>
      <c r="N9" s="493"/>
      <c r="O9" s="494" t="s">
        <v>159</v>
      </c>
      <c r="P9" s="495" t="s">
        <v>160</v>
      </c>
      <c r="Q9" s="653"/>
      <c r="R9" s="289" t="s">
        <v>619</v>
      </c>
      <c r="S9" s="289" t="s">
        <v>620</v>
      </c>
    </row>
    <row r="10" spans="2:22" s="109" customFormat="1" ht="14.25">
      <c r="B10" s="496" t="s">
        <v>161</v>
      </c>
      <c r="C10" s="497" t="s">
        <v>53</v>
      </c>
      <c r="D10" s="498" t="s">
        <v>54</v>
      </c>
      <c r="E10" s="498" t="s">
        <v>55</v>
      </c>
      <c r="F10" s="498" t="s">
        <v>56</v>
      </c>
      <c r="G10" s="499"/>
      <c r="H10" s="498" t="s">
        <v>162</v>
      </c>
      <c r="I10" s="500" t="s">
        <v>163</v>
      </c>
      <c r="J10" s="501" t="s">
        <v>197</v>
      </c>
      <c r="K10" s="502" t="s">
        <v>165</v>
      </c>
      <c r="L10" s="501" t="s">
        <v>166</v>
      </c>
      <c r="M10" s="501"/>
      <c r="N10" s="498" t="s">
        <v>75</v>
      </c>
      <c r="O10" s="498" t="s">
        <v>167</v>
      </c>
      <c r="P10" s="503" t="s">
        <v>168</v>
      </c>
      <c r="Q10" s="654"/>
    </row>
    <row r="11" spans="2:22">
      <c r="B11" s="110" t="s">
        <v>198</v>
      </c>
      <c r="Q11" s="111"/>
    </row>
    <row r="12" spans="2:22" s="116" customFormat="1" ht="30" customHeight="1">
      <c r="B12" s="76">
        <v>1</v>
      </c>
      <c r="C12" s="76"/>
      <c r="D12" s="76"/>
      <c r="E12" s="67" t="s">
        <v>199</v>
      </c>
      <c r="F12" s="3" t="s">
        <v>200</v>
      </c>
      <c r="G12" s="336">
        <f>20530/2</f>
        <v>10265</v>
      </c>
      <c r="H12" s="80">
        <v>15</v>
      </c>
      <c r="I12" s="78">
        <v>10675</v>
      </c>
      <c r="J12" s="78"/>
      <c r="K12" s="78">
        <f>I12</f>
        <v>10675</v>
      </c>
      <c r="L12" s="78">
        <v>0</v>
      </c>
      <c r="M12" s="78"/>
      <c r="N12" s="78">
        <v>1560</v>
      </c>
      <c r="O12" s="78">
        <f>N12</f>
        <v>1560</v>
      </c>
      <c r="P12" s="112">
        <f>K12+L12-O12</f>
        <v>9115</v>
      </c>
      <c r="Q12" s="113"/>
      <c r="R12" s="114"/>
      <c r="S12" s="114"/>
      <c r="T12" s="114"/>
      <c r="U12" s="114"/>
      <c r="V12" s="115"/>
    </row>
    <row r="13" spans="2:22" s="116" customFormat="1" ht="30" customHeight="1">
      <c r="B13" s="76">
        <f>B12+1</f>
        <v>2</v>
      </c>
      <c r="C13" s="76"/>
      <c r="D13" s="76"/>
      <c r="E13" s="128" t="s">
        <v>201</v>
      </c>
      <c r="F13" s="3" t="s">
        <v>202</v>
      </c>
      <c r="G13" s="336">
        <f>12736/2</f>
        <v>6368</v>
      </c>
      <c r="H13" s="80">
        <v>15</v>
      </c>
      <c r="I13" s="78">
        <v>6623</v>
      </c>
      <c r="J13" s="78"/>
      <c r="K13" s="78">
        <f t="shared" ref="K13:K37" si="0">(I13+J13)</f>
        <v>6623</v>
      </c>
      <c r="L13" s="78">
        <v>0</v>
      </c>
      <c r="M13" s="78"/>
      <c r="N13" s="78">
        <v>696</v>
      </c>
      <c r="O13" s="78">
        <f t="shared" ref="O13:O37" si="1">N13</f>
        <v>696</v>
      </c>
      <c r="P13" s="112">
        <f>K13+L13-O13-M13</f>
        <v>5927</v>
      </c>
      <c r="Q13" s="113"/>
      <c r="R13" s="114"/>
      <c r="S13" s="114"/>
      <c r="T13" s="114"/>
      <c r="U13" s="114"/>
      <c r="V13" s="115"/>
    </row>
    <row r="14" spans="2:22" s="116" customFormat="1" ht="30" customHeight="1">
      <c r="B14" s="76">
        <f t="shared" ref="B14:B37" si="2">B13+1</f>
        <v>3</v>
      </c>
      <c r="C14" s="76"/>
      <c r="D14" s="76"/>
      <c r="E14" s="67" t="s">
        <v>203</v>
      </c>
      <c r="F14" s="3" t="s">
        <v>202</v>
      </c>
      <c r="G14" s="336">
        <f>12736/2</f>
        <v>6368</v>
      </c>
      <c r="H14" s="80">
        <v>15</v>
      </c>
      <c r="I14" s="78">
        <v>6623</v>
      </c>
      <c r="J14" s="78"/>
      <c r="K14" s="78">
        <f t="shared" si="0"/>
        <v>6623</v>
      </c>
      <c r="L14" s="78">
        <v>0</v>
      </c>
      <c r="M14" s="78"/>
      <c r="N14" s="78">
        <v>696</v>
      </c>
      <c r="O14" s="78">
        <f t="shared" si="1"/>
        <v>696</v>
      </c>
      <c r="P14" s="112">
        <f t="shared" ref="P14:P37" si="3">K14+L14-O14</f>
        <v>5927</v>
      </c>
      <c r="Q14" s="113"/>
      <c r="R14" s="114"/>
      <c r="S14" s="114"/>
      <c r="T14" s="114"/>
      <c r="U14" s="114"/>
      <c r="V14" s="115"/>
    </row>
    <row r="15" spans="2:22" s="116" customFormat="1" ht="30" customHeight="1">
      <c r="B15" s="76">
        <f t="shared" si="2"/>
        <v>4</v>
      </c>
      <c r="C15" s="76"/>
      <c r="D15" s="76"/>
      <c r="E15" s="67" t="s">
        <v>205</v>
      </c>
      <c r="F15" s="3" t="s">
        <v>206</v>
      </c>
      <c r="G15" s="336">
        <f t="shared" ref="G15:G23" si="4">9242/2</f>
        <v>4621</v>
      </c>
      <c r="H15" s="80">
        <v>15</v>
      </c>
      <c r="I15" s="78">
        <v>4806</v>
      </c>
      <c r="J15" s="78"/>
      <c r="K15" s="78">
        <f t="shared" si="0"/>
        <v>4806</v>
      </c>
      <c r="L15" s="78">
        <v>0</v>
      </c>
      <c r="M15" s="78"/>
      <c r="N15" s="78">
        <v>386</v>
      </c>
      <c r="O15" s="78">
        <f t="shared" si="1"/>
        <v>386</v>
      </c>
      <c r="P15" s="112">
        <f t="shared" si="3"/>
        <v>4420</v>
      </c>
      <c r="Q15" s="113"/>
      <c r="R15" s="114"/>
      <c r="S15" s="114"/>
      <c r="T15" s="114"/>
      <c r="U15" s="114"/>
      <c r="V15" s="115"/>
    </row>
    <row r="16" spans="2:22" s="116" customFormat="1" ht="30" customHeight="1">
      <c r="B16" s="76">
        <f t="shared" si="2"/>
        <v>5</v>
      </c>
      <c r="C16" s="76"/>
      <c r="D16" s="76"/>
      <c r="E16" s="67" t="s">
        <v>208</v>
      </c>
      <c r="F16" s="3" t="s">
        <v>206</v>
      </c>
      <c r="G16" s="336">
        <f t="shared" si="4"/>
        <v>4621</v>
      </c>
      <c r="H16" s="80">
        <v>15</v>
      </c>
      <c r="I16" s="78">
        <v>4806</v>
      </c>
      <c r="J16" s="78"/>
      <c r="K16" s="78">
        <f t="shared" si="0"/>
        <v>4806</v>
      </c>
      <c r="L16" s="78">
        <v>0</v>
      </c>
      <c r="M16" s="78"/>
      <c r="N16" s="78">
        <v>386</v>
      </c>
      <c r="O16" s="78">
        <f t="shared" si="1"/>
        <v>386</v>
      </c>
      <c r="P16" s="112">
        <f t="shared" si="3"/>
        <v>4420</v>
      </c>
      <c r="Q16" s="113"/>
      <c r="R16" s="114"/>
      <c r="S16" s="114"/>
      <c r="T16" s="114"/>
      <c r="U16" s="114"/>
      <c r="V16" s="115"/>
    </row>
    <row r="17" spans="2:22" s="116" customFormat="1" ht="30" customHeight="1">
      <c r="B17" s="76">
        <f t="shared" si="2"/>
        <v>6</v>
      </c>
      <c r="C17" s="67"/>
      <c r="D17" s="67"/>
      <c r="E17" s="128" t="s">
        <v>209</v>
      </c>
      <c r="F17" s="117" t="s">
        <v>206</v>
      </c>
      <c r="G17" s="337">
        <f t="shared" si="4"/>
        <v>4621</v>
      </c>
      <c r="H17" s="118">
        <v>15</v>
      </c>
      <c r="I17" s="78">
        <v>4806</v>
      </c>
      <c r="J17" s="69"/>
      <c r="K17" s="78">
        <f t="shared" si="0"/>
        <v>4806</v>
      </c>
      <c r="L17" s="78">
        <v>0</v>
      </c>
      <c r="M17" s="78"/>
      <c r="N17" s="78">
        <v>386</v>
      </c>
      <c r="O17" s="69">
        <f t="shared" si="1"/>
        <v>386</v>
      </c>
      <c r="P17" s="71">
        <f t="shared" si="3"/>
        <v>4420</v>
      </c>
      <c r="Q17" s="119"/>
      <c r="R17" s="114"/>
      <c r="S17" s="114"/>
      <c r="T17" s="245">
        <v>10</v>
      </c>
      <c r="U17" s="245">
        <f>I17/15*T17</f>
        <v>3204</v>
      </c>
      <c r="V17" s="115">
        <f>U17</f>
        <v>3204</v>
      </c>
    </row>
    <row r="18" spans="2:22" s="116" customFormat="1" ht="30" customHeight="1">
      <c r="B18" s="76">
        <f t="shared" si="2"/>
        <v>7</v>
      </c>
      <c r="C18" s="76"/>
      <c r="D18" s="76"/>
      <c r="E18" s="67" t="s">
        <v>88</v>
      </c>
      <c r="F18" s="3" t="s">
        <v>206</v>
      </c>
      <c r="G18" s="336">
        <f t="shared" si="4"/>
        <v>4621</v>
      </c>
      <c r="H18" s="80">
        <v>15</v>
      </c>
      <c r="I18" s="78">
        <v>4806</v>
      </c>
      <c r="J18" s="78"/>
      <c r="K18" s="78">
        <f t="shared" si="0"/>
        <v>4806</v>
      </c>
      <c r="L18" s="78">
        <v>0</v>
      </c>
      <c r="M18" s="78"/>
      <c r="N18" s="78">
        <v>386</v>
      </c>
      <c r="O18" s="78">
        <f t="shared" si="1"/>
        <v>386</v>
      </c>
      <c r="P18" s="112">
        <f t="shared" si="3"/>
        <v>4420</v>
      </c>
      <c r="Q18" s="113"/>
      <c r="R18" s="114"/>
      <c r="S18" s="114"/>
      <c r="T18" s="114"/>
      <c r="U18" s="114"/>
      <c r="V18" s="115"/>
    </row>
    <row r="19" spans="2:22" s="116" customFormat="1" ht="30" customHeight="1">
      <c r="B19" s="76">
        <f t="shared" si="2"/>
        <v>8</v>
      </c>
      <c r="C19" s="76"/>
      <c r="D19" s="76"/>
      <c r="E19" s="67" t="s">
        <v>586</v>
      </c>
      <c r="F19" s="3" t="s">
        <v>206</v>
      </c>
      <c r="G19" s="336">
        <f t="shared" si="4"/>
        <v>4621</v>
      </c>
      <c r="H19" s="80">
        <v>15</v>
      </c>
      <c r="I19" s="78">
        <v>4806</v>
      </c>
      <c r="J19" s="78"/>
      <c r="K19" s="78">
        <f t="shared" si="0"/>
        <v>4806</v>
      </c>
      <c r="L19" s="78">
        <v>0</v>
      </c>
      <c r="M19" s="78"/>
      <c r="N19" s="78">
        <v>386</v>
      </c>
      <c r="O19" s="78">
        <f t="shared" si="1"/>
        <v>386</v>
      </c>
      <c r="P19" s="112">
        <f t="shared" si="3"/>
        <v>4420</v>
      </c>
      <c r="Q19" s="113"/>
      <c r="R19" s="114"/>
      <c r="S19" s="114"/>
      <c r="T19" s="114"/>
      <c r="U19" s="114"/>
      <c r="V19" s="115"/>
    </row>
    <row r="20" spans="2:22" s="116" customFormat="1" ht="30" customHeight="1">
      <c r="B20" s="76">
        <f t="shared" si="2"/>
        <v>9</v>
      </c>
      <c r="C20" s="76"/>
      <c r="D20" s="76"/>
      <c r="E20" s="67" t="s">
        <v>210</v>
      </c>
      <c r="F20" s="3" t="s">
        <v>206</v>
      </c>
      <c r="G20" s="336">
        <f t="shared" si="4"/>
        <v>4621</v>
      </c>
      <c r="H20" s="80">
        <v>15</v>
      </c>
      <c r="I20" s="78">
        <v>4806</v>
      </c>
      <c r="J20" s="120"/>
      <c r="K20" s="78">
        <f t="shared" si="0"/>
        <v>4806</v>
      </c>
      <c r="L20" s="78">
        <v>0</v>
      </c>
      <c r="M20" s="78"/>
      <c r="N20" s="78">
        <v>386</v>
      </c>
      <c r="O20" s="78">
        <f t="shared" si="1"/>
        <v>386</v>
      </c>
      <c r="P20" s="112">
        <f t="shared" si="3"/>
        <v>4420</v>
      </c>
      <c r="Q20" s="113"/>
      <c r="R20" s="114"/>
      <c r="S20" s="114"/>
      <c r="T20" s="114"/>
      <c r="U20" s="114"/>
      <c r="V20" s="115"/>
    </row>
    <row r="21" spans="2:22" s="116" customFormat="1" ht="30" customHeight="1">
      <c r="B21" s="76">
        <f t="shared" si="2"/>
        <v>10</v>
      </c>
      <c r="C21" s="76"/>
      <c r="D21" s="76"/>
      <c r="E21" s="67" t="s">
        <v>211</v>
      </c>
      <c r="F21" s="3" t="s">
        <v>206</v>
      </c>
      <c r="G21" s="336">
        <f t="shared" si="4"/>
        <v>4621</v>
      </c>
      <c r="H21" s="80">
        <v>15</v>
      </c>
      <c r="I21" s="78">
        <v>4806</v>
      </c>
      <c r="J21" s="120"/>
      <c r="K21" s="78">
        <f t="shared" si="0"/>
        <v>4806</v>
      </c>
      <c r="L21" s="78">
        <v>0</v>
      </c>
      <c r="M21" s="78"/>
      <c r="N21" s="78">
        <v>386</v>
      </c>
      <c r="O21" s="78">
        <f t="shared" si="1"/>
        <v>386</v>
      </c>
      <c r="P21" s="112">
        <f t="shared" si="3"/>
        <v>4420</v>
      </c>
      <c r="Q21" s="113"/>
      <c r="R21" s="114"/>
      <c r="S21" s="114"/>
      <c r="T21" s="245">
        <v>10</v>
      </c>
      <c r="U21" s="246">
        <f>I21/15*T21</f>
        <v>3204</v>
      </c>
      <c r="V21" s="115">
        <f>U21</f>
        <v>3204</v>
      </c>
    </row>
    <row r="22" spans="2:22" s="116" customFormat="1" ht="30" customHeight="1">
      <c r="B22" s="76">
        <f t="shared" si="2"/>
        <v>11</v>
      </c>
      <c r="C22" s="76"/>
      <c r="D22" s="76"/>
      <c r="E22" s="67" t="s">
        <v>212</v>
      </c>
      <c r="F22" s="3" t="s">
        <v>206</v>
      </c>
      <c r="G22" s="336">
        <f t="shared" si="4"/>
        <v>4621</v>
      </c>
      <c r="H22" s="80">
        <v>15</v>
      </c>
      <c r="I22" s="78">
        <v>4806</v>
      </c>
      <c r="J22" s="78"/>
      <c r="K22" s="78">
        <f t="shared" si="0"/>
        <v>4806</v>
      </c>
      <c r="L22" s="78">
        <v>0</v>
      </c>
      <c r="M22" s="78"/>
      <c r="N22" s="78">
        <v>386</v>
      </c>
      <c r="O22" s="78">
        <f t="shared" si="1"/>
        <v>386</v>
      </c>
      <c r="P22" s="112">
        <f t="shared" si="3"/>
        <v>4420</v>
      </c>
      <c r="Q22" s="113"/>
      <c r="T22" s="114"/>
      <c r="U22" s="114"/>
      <c r="V22" s="115"/>
    </row>
    <row r="23" spans="2:22" s="116" customFormat="1" ht="30" customHeight="1">
      <c r="B23" s="76">
        <f t="shared" si="2"/>
        <v>12</v>
      </c>
      <c r="C23" s="76"/>
      <c r="D23" s="76"/>
      <c r="E23" s="128" t="s">
        <v>283</v>
      </c>
      <c r="F23" s="3" t="s">
        <v>206</v>
      </c>
      <c r="G23" s="336">
        <f t="shared" si="4"/>
        <v>4621</v>
      </c>
      <c r="H23" s="80">
        <v>15</v>
      </c>
      <c r="I23" s="78">
        <v>4806</v>
      </c>
      <c r="J23" s="78"/>
      <c r="K23" s="78">
        <f t="shared" si="0"/>
        <v>4806</v>
      </c>
      <c r="L23" s="78">
        <v>0</v>
      </c>
      <c r="M23" s="78"/>
      <c r="N23" s="78">
        <v>386</v>
      </c>
      <c r="O23" s="78">
        <f t="shared" si="1"/>
        <v>386</v>
      </c>
      <c r="P23" s="112">
        <f t="shared" si="3"/>
        <v>4420</v>
      </c>
      <c r="Q23" s="113"/>
      <c r="T23" s="114" t="s">
        <v>284</v>
      </c>
      <c r="U23" s="114"/>
      <c r="V23" s="115"/>
    </row>
    <row r="24" spans="2:22" s="116" customFormat="1" ht="30" customHeight="1">
      <c r="B24" s="76">
        <f t="shared" si="2"/>
        <v>13</v>
      </c>
      <c r="C24" s="76"/>
      <c r="D24" s="76"/>
      <c r="E24" s="417" t="s">
        <v>678</v>
      </c>
      <c r="F24" s="3" t="s">
        <v>206</v>
      </c>
      <c r="G24" s="336">
        <f>9242/2</f>
        <v>4621</v>
      </c>
      <c r="H24" s="80">
        <v>15</v>
      </c>
      <c r="I24" s="78">
        <v>4806</v>
      </c>
      <c r="J24" s="78"/>
      <c r="K24" s="78">
        <f t="shared" si="0"/>
        <v>4806</v>
      </c>
      <c r="L24" s="78">
        <v>0</v>
      </c>
      <c r="M24" s="457">
        <v>1500</v>
      </c>
      <c r="N24" s="78">
        <v>386</v>
      </c>
      <c r="O24" s="78">
        <f>N24+M24</f>
        <v>1886</v>
      </c>
      <c r="P24" s="112">
        <f>K24-O24</f>
        <v>2920</v>
      </c>
      <c r="Q24" s="113"/>
      <c r="T24" s="114"/>
      <c r="U24" s="114"/>
      <c r="V24" s="115"/>
    </row>
    <row r="25" spans="2:22" s="116" customFormat="1" ht="30" customHeight="1">
      <c r="B25" s="76">
        <f t="shared" si="2"/>
        <v>14</v>
      </c>
      <c r="C25" s="76"/>
      <c r="D25" s="76"/>
      <c r="E25" s="417" t="s">
        <v>672</v>
      </c>
      <c r="F25" s="3" t="s">
        <v>206</v>
      </c>
      <c r="G25" s="336">
        <v>4621</v>
      </c>
      <c r="H25" s="80">
        <v>15</v>
      </c>
      <c r="I25" s="78">
        <v>4806</v>
      </c>
      <c r="J25" s="78"/>
      <c r="K25" s="78">
        <f t="shared" si="0"/>
        <v>4806</v>
      </c>
      <c r="L25" s="78">
        <v>0</v>
      </c>
      <c r="M25" s="78"/>
      <c r="N25" s="78">
        <v>386</v>
      </c>
      <c r="O25" s="78">
        <f t="shared" si="1"/>
        <v>386</v>
      </c>
      <c r="P25" s="112">
        <f t="shared" si="3"/>
        <v>4420</v>
      </c>
      <c r="Q25" s="113"/>
      <c r="R25" s="116" t="s">
        <v>673</v>
      </c>
      <c r="S25" s="116" t="s">
        <v>704</v>
      </c>
      <c r="T25" s="114"/>
      <c r="U25" s="114"/>
      <c r="V25" s="115"/>
    </row>
    <row r="26" spans="2:22" s="116" customFormat="1" ht="30" customHeight="1">
      <c r="B26" s="76">
        <f t="shared" si="2"/>
        <v>15</v>
      </c>
      <c r="C26" s="76"/>
      <c r="D26" s="76"/>
      <c r="E26" s="67" t="s">
        <v>282</v>
      </c>
      <c r="F26" s="3" t="s">
        <v>134</v>
      </c>
      <c r="G26" s="336">
        <f>9242/2</f>
        <v>4621</v>
      </c>
      <c r="H26" s="80">
        <v>15</v>
      </c>
      <c r="I26" s="78">
        <v>4806</v>
      </c>
      <c r="J26" s="78"/>
      <c r="K26" s="78">
        <f t="shared" si="0"/>
        <v>4806</v>
      </c>
      <c r="L26" s="78">
        <v>0</v>
      </c>
      <c r="M26" s="78"/>
      <c r="N26" s="78">
        <v>386</v>
      </c>
      <c r="O26" s="78">
        <f t="shared" si="1"/>
        <v>386</v>
      </c>
      <c r="P26" s="112">
        <f>4225.5-M26</f>
        <v>4225.5</v>
      </c>
      <c r="Q26" s="113"/>
      <c r="T26" s="114"/>
      <c r="U26" s="114"/>
      <c r="V26" s="115"/>
    </row>
    <row r="27" spans="2:22" s="116" customFormat="1" ht="30" customHeight="1">
      <c r="B27" s="76">
        <f t="shared" si="2"/>
        <v>16</v>
      </c>
      <c r="C27" s="76"/>
      <c r="D27" s="76"/>
      <c r="E27" s="76" t="s">
        <v>288</v>
      </c>
      <c r="F27" s="3" t="s">
        <v>206</v>
      </c>
      <c r="G27" s="336">
        <f>9242/2</f>
        <v>4621</v>
      </c>
      <c r="H27" s="80">
        <v>15</v>
      </c>
      <c r="I27" s="78">
        <v>4806</v>
      </c>
      <c r="J27" s="78"/>
      <c r="K27" s="78">
        <f t="shared" si="0"/>
        <v>4806</v>
      </c>
      <c r="L27" s="78">
        <v>0</v>
      </c>
      <c r="M27" s="78"/>
      <c r="N27" s="78">
        <v>386</v>
      </c>
      <c r="O27" s="78">
        <f t="shared" si="1"/>
        <v>386</v>
      </c>
      <c r="P27" s="112">
        <f t="shared" si="3"/>
        <v>4420</v>
      </c>
      <c r="Q27" s="113"/>
      <c r="T27" s="114"/>
      <c r="U27" s="114"/>
      <c r="V27" s="115"/>
    </row>
    <row r="28" spans="2:22" s="116" customFormat="1" ht="30" customHeight="1">
      <c r="B28" s="76">
        <f t="shared" si="2"/>
        <v>17</v>
      </c>
      <c r="C28" s="76"/>
      <c r="D28" s="76"/>
      <c r="E28" s="76" t="s">
        <v>648</v>
      </c>
      <c r="F28" s="3" t="s">
        <v>206</v>
      </c>
      <c r="G28" s="336">
        <f>9242/2</f>
        <v>4621</v>
      </c>
      <c r="H28" s="80">
        <v>15</v>
      </c>
      <c r="I28" s="78">
        <v>4806</v>
      </c>
      <c r="J28" s="78"/>
      <c r="K28" s="78">
        <f t="shared" si="0"/>
        <v>4806</v>
      </c>
      <c r="L28" s="78">
        <v>0</v>
      </c>
      <c r="M28" s="78"/>
      <c r="N28" s="78">
        <v>386</v>
      </c>
      <c r="O28" s="78">
        <f t="shared" si="1"/>
        <v>386</v>
      </c>
      <c r="P28" s="112">
        <f t="shared" si="3"/>
        <v>4420</v>
      </c>
      <c r="Q28" s="113"/>
      <c r="S28" s="424" t="s">
        <v>705</v>
      </c>
      <c r="T28" s="114"/>
      <c r="U28" s="114"/>
      <c r="V28" s="115"/>
    </row>
    <row r="29" spans="2:22" s="116" customFormat="1" ht="30" customHeight="1">
      <c r="B29" s="76">
        <f t="shared" si="2"/>
        <v>18</v>
      </c>
      <c r="C29" s="76"/>
      <c r="D29" s="76"/>
      <c r="E29" s="76" t="s">
        <v>692</v>
      </c>
      <c r="F29" s="3" t="s">
        <v>206</v>
      </c>
      <c r="G29" s="336"/>
      <c r="H29" s="80">
        <v>15</v>
      </c>
      <c r="I29" s="78">
        <v>4806</v>
      </c>
      <c r="J29" s="78"/>
      <c r="K29" s="78">
        <f t="shared" si="0"/>
        <v>4806</v>
      </c>
      <c r="L29" s="78">
        <v>0</v>
      </c>
      <c r="M29" s="78"/>
      <c r="N29" s="78">
        <v>386</v>
      </c>
      <c r="O29" s="78">
        <f t="shared" si="1"/>
        <v>386</v>
      </c>
      <c r="P29" s="112">
        <f t="shared" si="3"/>
        <v>4420</v>
      </c>
      <c r="Q29" s="113"/>
      <c r="R29" s="116" t="s">
        <v>693</v>
      </c>
      <c r="S29" s="116" t="s">
        <v>706</v>
      </c>
      <c r="T29" s="114"/>
      <c r="U29" s="114"/>
      <c r="V29" s="115"/>
    </row>
    <row r="30" spans="2:22" s="116" customFormat="1" ht="30" customHeight="1">
      <c r="B30" s="76">
        <f t="shared" si="2"/>
        <v>19</v>
      </c>
      <c r="C30" s="76"/>
      <c r="D30" s="76"/>
      <c r="E30" s="76" t="s">
        <v>714</v>
      </c>
      <c r="F30" s="3" t="s">
        <v>206</v>
      </c>
      <c r="G30" s="336"/>
      <c r="H30" s="80">
        <v>15</v>
      </c>
      <c r="I30" s="78">
        <v>4806</v>
      </c>
      <c r="J30" s="78"/>
      <c r="K30" s="78">
        <f t="shared" si="0"/>
        <v>4806</v>
      </c>
      <c r="L30" s="78">
        <v>0</v>
      </c>
      <c r="M30" s="78"/>
      <c r="N30" s="78">
        <v>386</v>
      </c>
      <c r="O30" s="78">
        <f t="shared" si="1"/>
        <v>386</v>
      </c>
      <c r="P30" s="112">
        <f t="shared" si="3"/>
        <v>4420</v>
      </c>
      <c r="Q30" s="113"/>
      <c r="R30" s="116" t="s">
        <v>715</v>
      </c>
      <c r="T30" s="114"/>
      <c r="U30" s="114"/>
      <c r="V30" s="115"/>
    </row>
    <row r="31" spans="2:22" s="116" customFormat="1" ht="30" customHeight="1">
      <c r="B31" s="76">
        <f t="shared" si="2"/>
        <v>20</v>
      </c>
      <c r="C31" s="76"/>
      <c r="D31" s="76"/>
      <c r="E31" s="76"/>
      <c r="F31" s="3" t="s">
        <v>206</v>
      </c>
      <c r="G31" s="336"/>
      <c r="H31" s="80">
        <v>15</v>
      </c>
      <c r="I31" s="78">
        <v>4806</v>
      </c>
      <c r="J31" s="78"/>
      <c r="K31" s="78">
        <f t="shared" si="0"/>
        <v>4806</v>
      </c>
      <c r="L31" s="78">
        <v>0</v>
      </c>
      <c r="M31" s="78"/>
      <c r="N31" s="78">
        <v>386</v>
      </c>
      <c r="O31" s="78">
        <f t="shared" si="1"/>
        <v>386</v>
      </c>
      <c r="P31" s="112">
        <f t="shared" si="3"/>
        <v>4420</v>
      </c>
      <c r="Q31" s="113"/>
      <c r="R31" s="116" t="s">
        <v>760</v>
      </c>
      <c r="T31" s="114"/>
      <c r="U31" s="114"/>
      <c r="V31" s="115"/>
    </row>
    <row r="32" spans="2:22" s="116" customFormat="1" ht="30" customHeight="1">
      <c r="B32" s="76">
        <f t="shared" si="2"/>
        <v>21</v>
      </c>
      <c r="C32" s="76"/>
      <c r="D32" s="76"/>
      <c r="E32" s="76" t="s">
        <v>741</v>
      </c>
      <c r="F32" s="3" t="s">
        <v>206</v>
      </c>
      <c r="G32" s="336"/>
      <c r="H32" s="80">
        <v>15</v>
      </c>
      <c r="I32" s="78">
        <v>4806</v>
      </c>
      <c r="J32" s="78"/>
      <c r="K32" s="78">
        <f t="shared" si="0"/>
        <v>4806</v>
      </c>
      <c r="L32" s="78">
        <v>0</v>
      </c>
      <c r="M32" s="78"/>
      <c r="N32" s="78">
        <v>386</v>
      </c>
      <c r="O32" s="78">
        <f t="shared" si="1"/>
        <v>386</v>
      </c>
      <c r="P32" s="112">
        <f t="shared" si="3"/>
        <v>4420</v>
      </c>
      <c r="Q32" s="113"/>
      <c r="R32" s="116" t="s">
        <v>761</v>
      </c>
      <c r="T32" s="114"/>
      <c r="U32" s="114"/>
      <c r="V32" s="115"/>
    </row>
    <row r="33" spans="1:22" s="116" customFormat="1" ht="30" customHeight="1">
      <c r="A33" s="433" t="s">
        <v>758</v>
      </c>
      <c r="B33" s="76">
        <f t="shared" si="2"/>
        <v>22</v>
      </c>
      <c r="C33" s="76"/>
      <c r="D33" s="76"/>
      <c r="E33" s="76" t="s">
        <v>775</v>
      </c>
      <c r="F33" s="3" t="s">
        <v>206</v>
      </c>
      <c r="G33" s="336"/>
      <c r="H33" s="80">
        <v>15</v>
      </c>
      <c r="I33" s="78">
        <v>4806</v>
      </c>
      <c r="J33" s="78"/>
      <c r="K33" s="78">
        <f t="shared" si="0"/>
        <v>4806</v>
      </c>
      <c r="L33" s="78">
        <v>0</v>
      </c>
      <c r="M33" s="78"/>
      <c r="N33" s="78">
        <v>386</v>
      </c>
      <c r="O33" s="78">
        <f t="shared" si="1"/>
        <v>386</v>
      </c>
      <c r="P33" s="112">
        <f>K33-O33</f>
        <v>4420</v>
      </c>
      <c r="Q33" s="113"/>
      <c r="R33" s="116" t="s">
        <v>751</v>
      </c>
      <c r="T33" s="114"/>
      <c r="U33" s="114"/>
      <c r="V33" s="115"/>
    </row>
    <row r="34" spans="1:22" s="116" customFormat="1" ht="30" customHeight="1">
      <c r="A34" s="433" t="s">
        <v>758</v>
      </c>
      <c r="B34" s="76">
        <f t="shared" si="2"/>
        <v>23</v>
      </c>
      <c r="C34" s="217"/>
      <c r="D34" s="217"/>
      <c r="E34" s="217" t="s">
        <v>754</v>
      </c>
      <c r="F34" s="121" t="s">
        <v>206</v>
      </c>
      <c r="G34" s="338"/>
      <c r="H34" s="122">
        <v>15</v>
      </c>
      <c r="I34" s="120">
        <v>4806</v>
      </c>
      <c r="J34" s="120"/>
      <c r="K34" s="78">
        <f t="shared" si="0"/>
        <v>4806</v>
      </c>
      <c r="L34" s="78">
        <v>0</v>
      </c>
      <c r="M34" s="78"/>
      <c r="N34" s="78">
        <v>386</v>
      </c>
      <c r="O34" s="78">
        <f t="shared" si="1"/>
        <v>386</v>
      </c>
      <c r="P34" s="112">
        <f>K34-O34</f>
        <v>4420</v>
      </c>
      <c r="Q34" s="113"/>
      <c r="R34" s="116" t="s">
        <v>755</v>
      </c>
      <c r="T34" s="114"/>
      <c r="U34" s="114"/>
      <c r="V34" s="115"/>
    </row>
    <row r="35" spans="1:22" s="116" customFormat="1" ht="30" customHeight="1">
      <c r="A35" s="433" t="s">
        <v>758</v>
      </c>
      <c r="B35" s="76">
        <f t="shared" si="2"/>
        <v>24</v>
      </c>
      <c r="C35" s="217"/>
      <c r="D35" s="217"/>
      <c r="E35" s="217" t="s">
        <v>756</v>
      </c>
      <c r="F35" s="121" t="s">
        <v>206</v>
      </c>
      <c r="G35" s="338"/>
      <c r="H35" s="122">
        <v>15</v>
      </c>
      <c r="I35" s="120">
        <v>4806</v>
      </c>
      <c r="J35" s="120"/>
      <c r="K35" s="78">
        <f t="shared" si="0"/>
        <v>4806</v>
      </c>
      <c r="L35" s="78">
        <v>0</v>
      </c>
      <c r="M35" s="78"/>
      <c r="N35" s="78">
        <v>386</v>
      </c>
      <c r="O35" s="78">
        <f t="shared" si="1"/>
        <v>386</v>
      </c>
      <c r="P35" s="112">
        <f>K35-O35</f>
        <v>4420</v>
      </c>
      <c r="Q35" s="113"/>
      <c r="R35" s="116" t="s">
        <v>755</v>
      </c>
      <c r="T35" s="114"/>
      <c r="U35" s="114"/>
      <c r="V35" s="115"/>
    </row>
    <row r="36" spans="1:22" s="116" customFormat="1" ht="30" customHeight="1">
      <c r="A36" s="433" t="s">
        <v>758</v>
      </c>
      <c r="B36" s="76">
        <f t="shared" si="2"/>
        <v>25</v>
      </c>
      <c r="C36" s="217"/>
      <c r="D36" s="217"/>
      <c r="E36" s="217" t="s">
        <v>757</v>
      </c>
      <c r="F36" s="121" t="s">
        <v>206</v>
      </c>
      <c r="G36" s="338"/>
      <c r="H36" s="122">
        <v>15</v>
      </c>
      <c r="I36" s="120">
        <v>4806</v>
      </c>
      <c r="J36" s="120"/>
      <c r="K36" s="78">
        <f t="shared" si="0"/>
        <v>4806</v>
      </c>
      <c r="L36" s="78">
        <v>0</v>
      </c>
      <c r="M36" s="78"/>
      <c r="N36" s="78">
        <v>386</v>
      </c>
      <c r="O36" s="78">
        <f t="shared" si="1"/>
        <v>386</v>
      </c>
      <c r="P36" s="112">
        <f>K36-O36</f>
        <v>4420</v>
      </c>
      <c r="Q36" s="113"/>
      <c r="R36" s="116" t="s">
        <v>755</v>
      </c>
      <c r="T36" s="114"/>
      <c r="U36" s="114"/>
      <c r="V36" s="115"/>
    </row>
    <row r="37" spans="1:22" s="116" customFormat="1" ht="30" customHeight="1">
      <c r="B37" s="76">
        <f t="shared" si="2"/>
        <v>26</v>
      </c>
      <c r="C37" s="76"/>
      <c r="D37" s="76"/>
      <c r="E37" s="76" t="s">
        <v>224</v>
      </c>
      <c r="F37" s="3" t="s">
        <v>225</v>
      </c>
      <c r="G37" s="339">
        <f>4592/2</f>
        <v>2296</v>
      </c>
      <c r="H37" s="80">
        <v>15</v>
      </c>
      <c r="I37" s="78">
        <v>2388</v>
      </c>
      <c r="J37" s="78"/>
      <c r="K37" s="78">
        <f t="shared" si="0"/>
        <v>2388</v>
      </c>
      <c r="L37" s="78">
        <v>24.04</v>
      </c>
      <c r="M37" s="78"/>
      <c r="N37" s="78"/>
      <c r="O37" s="78">
        <f t="shared" si="1"/>
        <v>0</v>
      </c>
      <c r="P37" s="112">
        <f t="shared" si="3"/>
        <v>2412.04</v>
      </c>
      <c r="Q37" s="314"/>
      <c r="T37" s="114"/>
      <c r="U37" s="114"/>
      <c r="V37" s="115"/>
    </row>
    <row r="38" spans="1:22" s="116" customFormat="1" ht="30" customHeight="1" thickBot="1">
      <c r="B38" s="15"/>
      <c r="C38" s="590" t="s">
        <v>50</v>
      </c>
      <c r="D38" s="590"/>
      <c r="E38" s="590"/>
      <c r="F38" s="590"/>
      <c r="G38" s="590"/>
      <c r="H38" s="590"/>
      <c r="I38" s="591">
        <f t="shared" ref="I38:O38" si="5">SUM(I12:I37)</f>
        <v>132041</v>
      </c>
      <c r="J38" s="591">
        <f t="shared" si="5"/>
        <v>0</v>
      </c>
      <c r="K38" s="591">
        <f t="shared" si="5"/>
        <v>132041</v>
      </c>
      <c r="L38" s="591">
        <f t="shared" si="5"/>
        <v>24.04</v>
      </c>
      <c r="M38" s="591">
        <f t="shared" si="5"/>
        <v>1500</v>
      </c>
      <c r="N38" s="591">
        <f t="shared" si="5"/>
        <v>11444</v>
      </c>
      <c r="O38" s="591">
        <f t="shared" si="5"/>
        <v>12944</v>
      </c>
      <c r="P38" s="539">
        <f>SUM(P12:P37)</f>
        <v>118926.54</v>
      </c>
      <c r="R38" s="115"/>
      <c r="S38" s="115"/>
    </row>
    <row r="39" spans="1:22" ht="12" thickTop="1"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4"/>
      <c r="Q39" s="116"/>
      <c r="R39" s="116"/>
      <c r="S39" s="116"/>
      <c r="T39" s="116"/>
      <c r="U39" s="116"/>
      <c r="V39" s="116"/>
    </row>
    <row r="40" spans="1:22"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4"/>
      <c r="Q40" s="116"/>
      <c r="R40" s="216"/>
      <c r="S40" s="116"/>
      <c r="T40" s="116"/>
      <c r="U40" s="116"/>
      <c r="V40" s="116"/>
    </row>
    <row r="41" spans="1:22"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4"/>
      <c r="Q41" s="116"/>
      <c r="R41" s="116"/>
      <c r="S41" s="116"/>
      <c r="T41" s="116"/>
      <c r="U41" s="116"/>
      <c r="V41" s="116"/>
    </row>
    <row r="42" spans="1:22"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4"/>
      <c r="Q42" s="116"/>
      <c r="R42" s="116"/>
      <c r="S42" s="116"/>
      <c r="T42" s="116"/>
      <c r="U42" s="116"/>
      <c r="V42" s="116"/>
    </row>
    <row r="43" spans="1:22">
      <c r="B43" s="123"/>
      <c r="C43" s="123"/>
      <c r="D43" s="123"/>
      <c r="E43" s="123"/>
      <c r="F43" s="123"/>
      <c r="G43" s="123" t="s">
        <v>28</v>
      </c>
      <c r="H43" s="123"/>
      <c r="I43" s="123"/>
      <c r="J43" s="123"/>
      <c r="K43" s="123"/>
      <c r="L43" s="123"/>
      <c r="M43" s="123"/>
      <c r="N43" s="125"/>
      <c r="O43" s="123"/>
      <c r="P43" s="126"/>
    </row>
    <row r="44" spans="1:22">
      <c r="G44" s="56"/>
      <c r="H44" s="56"/>
      <c r="I44" s="56"/>
      <c r="J44" s="56"/>
      <c r="K44" s="56"/>
      <c r="L44" s="56"/>
    </row>
    <row r="45" spans="1:22" ht="13.5" customHeight="1">
      <c r="B45" s="621" t="s">
        <v>759</v>
      </c>
      <c r="C45" s="621"/>
      <c r="D45" s="621"/>
      <c r="E45" s="621"/>
      <c r="F45" s="6"/>
      <c r="G45" s="640" t="s">
        <v>45</v>
      </c>
      <c r="H45" s="640"/>
      <c r="I45" s="640"/>
      <c r="J45" s="640"/>
      <c r="K45" s="640"/>
      <c r="L45" s="640"/>
      <c r="M45" s="279"/>
      <c r="N45" s="6"/>
      <c r="O45" s="640" t="s">
        <v>616</v>
      </c>
      <c r="P45" s="640"/>
      <c r="Q45" s="640"/>
    </row>
    <row r="46" spans="1:22" ht="12.75">
      <c r="B46" s="622" t="s">
        <v>150</v>
      </c>
      <c r="C46" s="622"/>
      <c r="D46" s="622"/>
      <c r="E46" s="622"/>
      <c r="F46" s="6"/>
      <c r="G46" s="6"/>
      <c r="H46" s="6" t="s">
        <v>151</v>
      </c>
      <c r="I46" s="6"/>
      <c r="J46" s="6"/>
      <c r="K46" s="6"/>
      <c r="L46" s="6"/>
      <c r="M46" s="6"/>
      <c r="N46" s="6" t="s">
        <v>152</v>
      </c>
      <c r="O46" s="622" t="s">
        <v>30</v>
      </c>
      <c r="P46" s="622"/>
      <c r="Q46" s="622"/>
    </row>
    <row r="47" spans="1:22">
      <c r="K47" s="127"/>
    </row>
    <row r="48" spans="1:22">
      <c r="P48" s="127"/>
    </row>
    <row r="49" spans="16:16">
      <c r="P49" s="127"/>
    </row>
    <row r="50" spans="16:16">
      <c r="P50" s="183"/>
    </row>
    <row r="54" spans="16:16">
      <c r="P54" s="262">
        <f>K38+L38-O38</f>
        <v>119121.04000000001</v>
      </c>
    </row>
    <row r="55" spans="16:16">
      <c r="P55" s="262">
        <f>P38-P54</f>
        <v>-194.50000000001455</v>
      </c>
    </row>
  </sheetData>
  <mergeCells count="11">
    <mergeCell ref="I8:K8"/>
    <mergeCell ref="N8:O8"/>
    <mergeCell ref="C9:E9"/>
    <mergeCell ref="B3:Q3"/>
    <mergeCell ref="B4:Q4"/>
    <mergeCell ref="Q8:Q10"/>
    <mergeCell ref="B45:E45"/>
    <mergeCell ref="O45:Q45"/>
    <mergeCell ref="B46:E46"/>
    <mergeCell ref="O46:Q46"/>
    <mergeCell ref="G45:L45"/>
  </mergeCells>
  <printOptions horizontalCentered="1"/>
  <pageMargins left="0.70866141732283472" right="0.70866141732283472" top="0.43307086614173229" bottom="0.43307086614173229" header="0.31496062992125984" footer="0.31496062992125984"/>
  <pageSetup paperSize="5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R35"/>
  <sheetViews>
    <sheetView workbookViewId="0">
      <selection activeCell="R30" sqref="R30"/>
    </sheetView>
  </sheetViews>
  <sheetFormatPr baseColWidth="10" defaultRowHeight="11.25"/>
  <cols>
    <col min="1" max="1" width="11.42578125" style="116"/>
    <col min="2" max="2" width="5.85546875" style="116" customWidth="1"/>
    <col min="3" max="3" width="9.28515625" style="116" customWidth="1"/>
    <col min="4" max="4" width="9" style="116" customWidth="1"/>
    <col min="5" max="5" width="15.42578125" style="116" customWidth="1"/>
    <col min="6" max="6" width="12.28515625" style="116" customWidth="1"/>
    <col min="7" max="7" width="0.7109375" style="116" hidden="1" customWidth="1"/>
    <col min="8" max="8" width="11.140625" style="344" hidden="1" customWidth="1"/>
    <col min="9" max="9" width="4.85546875" style="116" customWidth="1"/>
    <col min="10" max="10" width="12.42578125" style="138" customWidth="1"/>
    <col min="11" max="11" width="5.42578125" style="116" hidden="1" customWidth="1"/>
    <col min="12" max="12" width="12.140625" style="138" customWidth="1"/>
    <col min="13" max="13" width="10.85546875" style="116" customWidth="1"/>
    <col min="14" max="14" width="12" style="116" customWidth="1"/>
    <col min="15" max="15" width="11" style="116" customWidth="1"/>
    <col min="16" max="16" width="11.7109375" style="116" customWidth="1"/>
    <col min="17" max="17" width="25.140625" style="116" customWidth="1"/>
    <col min="18" max="18" width="14.5703125" style="116" customWidth="1"/>
    <col min="19" max="16384" width="11.42578125" style="116"/>
  </cols>
  <sheetData>
    <row r="2" spans="2:17" s="48" customFormat="1" ht="16.5">
      <c r="B2" s="659"/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  <c r="Q2" s="53"/>
    </row>
    <row r="3" spans="2:17" s="48" customFormat="1" ht="19.5">
      <c r="B3" s="646" t="s">
        <v>215</v>
      </c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8"/>
    </row>
    <row r="4" spans="2:17" s="48" customFormat="1" ht="17.25">
      <c r="B4" s="667" t="s">
        <v>791</v>
      </c>
      <c r="C4" s="650"/>
      <c r="D4" s="650"/>
      <c r="E4" s="650"/>
      <c r="F4" s="650"/>
      <c r="G4" s="650"/>
      <c r="H4" s="650"/>
      <c r="I4" s="650"/>
      <c r="J4" s="650"/>
      <c r="K4" s="650"/>
      <c r="L4" s="650"/>
      <c r="M4" s="650"/>
      <c r="N4" s="650"/>
      <c r="O4" s="650"/>
      <c r="P4" s="650"/>
      <c r="Q4" s="651"/>
    </row>
    <row r="5" spans="2:17" s="48" customFormat="1" ht="12.75">
      <c r="B5" s="105"/>
      <c r="C5" s="104"/>
      <c r="D5" s="104"/>
      <c r="E5" s="104"/>
      <c r="F5" s="104"/>
      <c r="G5" s="104"/>
      <c r="H5" s="340"/>
      <c r="I5" s="104"/>
      <c r="J5" s="104"/>
      <c r="K5" s="104"/>
      <c r="L5" s="104"/>
      <c r="M5" s="104"/>
      <c r="N5" s="104"/>
      <c r="O5" s="104"/>
      <c r="P5" s="104"/>
      <c r="Q5" s="106"/>
    </row>
    <row r="6" spans="2:17" s="48" customFormat="1" ht="12.75">
      <c r="B6" s="107"/>
      <c r="C6" s="55" t="s">
        <v>0</v>
      </c>
      <c r="D6" s="56"/>
      <c r="E6" s="56"/>
      <c r="F6" s="56"/>
      <c r="G6" s="56"/>
      <c r="H6" s="341"/>
      <c r="I6" s="56"/>
      <c r="J6" s="56"/>
      <c r="K6" s="56"/>
      <c r="L6" s="56"/>
      <c r="M6" s="56"/>
      <c r="N6" s="56"/>
      <c r="O6" s="56"/>
      <c r="P6" s="56"/>
      <c r="Q6" s="108"/>
    </row>
    <row r="7" spans="2:17" s="48" customFormat="1" ht="15.75">
      <c r="B7" s="129" t="s">
        <v>155</v>
      </c>
      <c r="C7" s="129"/>
      <c r="D7" s="130"/>
      <c r="E7" s="130" t="s">
        <v>156</v>
      </c>
      <c r="F7" s="131"/>
      <c r="G7" s="131"/>
      <c r="H7" s="342"/>
      <c r="I7" s="131"/>
      <c r="J7" s="131"/>
      <c r="K7" s="131"/>
      <c r="L7" s="131"/>
      <c r="M7" s="131"/>
      <c r="N7" s="131"/>
      <c r="O7" s="131"/>
      <c r="P7" s="131"/>
    </row>
    <row r="8" spans="2:17" ht="14.25">
      <c r="B8" s="132" t="s">
        <v>157</v>
      </c>
      <c r="C8" s="133"/>
      <c r="D8" s="133"/>
      <c r="E8" s="133"/>
      <c r="F8" s="133"/>
      <c r="G8" s="134" t="s">
        <v>28</v>
      </c>
      <c r="H8" s="343"/>
      <c r="I8" s="133"/>
      <c r="J8" s="661" t="s">
        <v>60</v>
      </c>
      <c r="K8" s="662"/>
      <c r="L8" s="663"/>
      <c r="M8" s="135"/>
      <c r="N8" s="661" t="s">
        <v>61</v>
      </c>
      <c r="O8" s="664"/>
      <c r="P8" s="135"/>
      <c r="Q8" s="136"/>
    </row>
    <row r="9" spans="2:17" ht="18" customHeight="1">
      <c r="B9" s="485" t="s">
        <v>158</v>
      </c>
      <c r="C9" s="645" t="s">
        <v>52</v>
      </c>
      <c r="D9" s="645"/>
      <c r="E9" s="645"/>
      <c r="F9" s="486"/>
      <c r="G9" s="487"/>
      <c r="H9" s="504"/>
      <c r="I9" s="488" t="s">
        <v>63</v>
      </c>
      <c r="J9" s="489" t="s">
        <v>3</v>
      </c>
      <c r="K9" s="490" t="s">
        <v>65</v>
      </c>
      <c r="L9" s="491" t="s">
        <v>159</v>
      </c>
      <c r="M9" s="490"/>
      <c r="N9" s="670" t="s">
        <v>610</v>
      </c>
      <c r="O9" s="671"/>
      <c r="P9" s="495" t="s">
        <v>160</v>
      </c>
      <c r="Q9" s="668" t="s">
        <v>29</v>
      </c>
    </row>
    <row r="10" spans="2:17" ht="18" customHeight="1">
      <c r="B10" s="496" t="s">
        <v>161</v>
      </c>
      <c r="C10" s="497" t="s">
        <v>53</v>
      </c>
      <c r="D10" s="498" t="s">
        <v>54</v>
      </c>
      <c r="E10" s="498" t="s">
        <v>55</v>
      </c>
      <c r="F10" s="498" t="s">
        <v>56</v>
      </c>
      <c r="G10" s="499" t="s">
        <v>57</v>
      </c>
      <c r="H10" s="505"/>
      <c r="I10" s="498" t="s">
        <v>162</v>
      </c>
      <c r="J10" s="500" t="s">
        <v>163</v>
      </c>
      <c r="K10" s="501" t="s">
        <v>164</v>
      </c>
      <c r="L10" s="502" t="s">
        <v>165</v>
      </c>
      <c r="M10" s="501" t="s">
        <v>605</v>
      </c>
      <c r="N10" s="498" t="s">
        <v>75</v>
      </c>
      <c r="O10" s="498" t="s">
        <v>167</v>
      </c>
      <c r="P10" s="503" t="s">
        <v>168</v>
      </c>
      <c r="Q10" s="669"/>
    </row>
    <row r="11" spans="2:17" ht="18" customHeight="1">
      <c r="B11" s="137" t="s">
        <v>169</v>
      </c>
      <c r="C11" s="137"/>
      <c r="D11" s="137"/>
      <c r="E11" s="137"/>
      <c r="Q11" s="139"/>
    </row>
    <row r="12" spans="2:17" ht="30" customHeight="1">
      <c r="B12" s="3">
        <v>1</v>
      </c>
      <c r="C12" s="3" t="s">
        <v>170</v>
      </c>
      <c r="D12" s="3" t="s">
        <v>113</v>
      </c>
      <c r="E12" s="117" t="s">
        <v>171</v>
      </c>
      <c r="F12" s="3" t="s">
        <v>592</v>
      </c>
      <c r="G12" s="3" t="s">
        <v>173</v>
      </c>
      <c r="H12" s="345">
        <f>13508/2</f>
        <v>6754</v>
      </c>
      <c r="I12" s="3">
        <v>15</v>
      </c>
      <c r="J12" s="78">
        <v>7024</v>
      </c>
      <c r="K12" s="140"/>
      <c r="L12" s="69">
        <f>J12</f>
        <v>7024</v>
      </c>
      <c r="M12" s="141"/>
      <c r="N12" s="78">
        <v>780</v>
      </c>
      <c r="O12" s="69">
        <f>N12</f>
        <v>780</v>
      </c>
      <c r="P12" s="142">
        <f>L12-M12-O12</f>
        <v>6244</v>
      </c>
      <c r="Q12" s="143"/>
    </row>
    <row r="13" spans="2:17" ht="30" customHeight="1">
      <c r="B13" s="3">
        <f>B12+1</f>
        <v>2</v>
      </c>
      <c r="C13" s="3" t="s">
        <v>105</v>
      </c>
      <c r="D13" s="3" t="s">
        <v>174</v>
      </c>
      <c r="E13" s="117" t="s">
        <v>175</v>
      </c>
      <c r="F13" s="3" t="s">
        <v>172</v>
      </c>
      <c r="G13" s="3" t="s">
        <v>176</v>
      </c>
      <c r="H13" s="345">
        <v>4621</v>
      </c>
      <c r="I13" s="3">
        <v>15</v>
      </c>
      <c r="J13" s="78">
        <v>4806</v>
      </c>
      <c r="K13" s="140"/>
      <c r="L13" s="69">
        <f t="shared" ref="L13:L26" si="0">J13</f>
        <v>4806</v>
      </c>
      <c r="M13" s="141"/>
      <c r="N13" s="78">
        <v>386</v>
      </c>
      <c r="O13" s="69">
        <f t="shared" ref="O13:O26" si="1">N13</f>
        <v>386</v>
      </c>
      <c r="P13" s="142">
        <f t="shared" ref="P13:P23" si="2">L13-M13-O13</f>
        <v>4420</v>
      </c>
      <c r="Q13" s="143"/>
    </row>
    <row r="14" spans="2:17" ht="30" customHeight="1">
      <c r="B14" s="3">
        <f t="shared" ref="B14:B15" si="3">B13+1</f>
        <v>3</v>
      </c>
      <c r="C14" s="3" t="s">
        <v>92</v>
      </c>
      <c r="D14" s="3" t="s">
        <v>178</v>
      </c>
      <c r="E14" s="117" t="s">
        <v>179</v>
      </c>
      <c r="F14" s="3" t="s">
        <v>172</v>
      </c>
      <c r="G14" s="121" t="s">
        <v>180</v>
      </c>
      <c r="H14" s="345">
        <f t="shared" ref="H14:H20" si="4">9242/2</f>
        <v>4621</v>
      </c>
      <c r="I14" s="3">
        <v>15</v>
      </c>
      <c r="J14" s="78">
        <v>4806</v>
      </c>
      <c r="K14" s="144"/>
      <c r="L14" s="69">
        <f t="shared" si="0"/>
        <v>4806</v>
      </c>
      <c r="M14" s="141"/>
      <c r="N14" s="78">
        <v>386</v>
      </c>
      <c r="O14" s="69">
        <f t="shared" si="1"/>
        <v>386</v>
      </c>
      <c r="P14" s="142">
        <f t="shared" si="2"/>
        <v>4420</v>
      </c>
      <c r="Q14" s="143"/>
    </row>
    <row r="15" spans="2:17" ht="30" customHeight="1">
      <c r="B15" s="3">
        <f t="shared" si="3"/>
        <v>4</v>
      </c>
      <c r="C15" s="3" t="s">
        <v>177</v>
      </c>
      <c r="D15" s="3" t="s">
        <v>181</v>
      </c>
      <c r="E15" s="117" t="s">
        <v>182</v>
      </c>
      <c r="F15" s="3" t="s">
        <v>172</v>
      </c>
      <c r="G15" s="3" t="s">
        <v>183</v>
      </c>
      <c r="H15" s="345">
        <f t="shared" si="4"/>
        <v>4621</v>
      </c>
      <c r="I15" s="3">
        <v>15</v>
      </c>
      <c r="J15" s="78">
        <v>4806</v>
      </c>
      <c r="K15" s="144"/>
      <c r="L15" s="69">
        <f t="shared" si="0"/>
        <v>4806</v>
      </c>
      <c r="M15" s="434"/>
      <c r="N15" s="78">
        <v>386</v>
      </c>
      <c r="O15" s="69">
        <f t="shared" si="1"/>
        <v>386</v>
      </c>
      <c r="P15" s="142">
        <f t="shared" si="2"/>
        <v>4420</v>
      </c>
      <c r="Q15" s="143"/>
    </row>
    <row r="16" spans="2:17" ht="30" customHeight="1">
      <c r="B16" s="3">
        <f t="shared" ref="B16:B24" si="5">B15+1</f>
        <v>5</v>
      </c>
      <c r="C16" s="3" t="s">
        <v>184</v>
      </c>
      <c r="D16" s="3" t="s">
        <v>185</v>
      </c>
      <c r="E16" s="117" t="s">
        <v>186</v>
      </c>
      <c r="F16" s="3" t="s">
        <v>172</v>
      </c>
      <c r="G16" s="3" t="s">
        <v>187</v>
      </c>
      <c r="H16" s="345">
        <f t="shared" si="4"/>
        <v>4621</v>
      </c>
      <c r="I16" s="3">
        <v>15</v>
      </c>
      <c r="J16" s="78">
        <v>4806</v>
      </c>
      <c r="K16" s="144"/>
      <c r="L16" s="69">
        <f t="shared" si="0"/>
        <v>4806</v>
      </c>
      <c r="M16" s="434"/>
      <c r="N16" s="78">
        <v>386</v>
      </c>
      <c r="O16" s="69">
        <f t="shared" si="1"/>
        <v>386</v>
      </c>
      <c r="P16" s="142">
        <f t="shared" si="2"/>
        <v>4420</v>
      </c>
      <c r="Q16" s="143"/>
    </row>
    <row r="17" spans="2:18" ht="30" customHeight="1">
      <c r="B17" s="3">
        <f t="shared" si="5"/>
        <v>6</v>
      </c>
      <c r="C17" s="3" t="s">
        <v>105</v>
      </c>
      <c r="D17" s="3" t="s">
        <v>145</v>
      </c>
      <c r="E17" s="117" t="s">
        <v>188</v>
      </c>
      <c r="F17" s="3" t="s">
        <v>172</v>
      </c>
      <c r="G17" s="3" t="s">
        <v>189</v>
      </c>
      <c r="H17" s="345">
        <f t="shared" si="4"/>
        <v>4621</v>
      </c>
      <c r="I17" s="3">
        <v>15</v>
      </c>
      <c r="J17" s="78">
        <v>4806</v>
      </c>
      <c r="K17" s="144"/>
      <c r="L17" s="69">
        <f t="shared" si="0"/>
        <v>4806</v>
      </c>
      <c r="M17" s="434"/>
      <c r="N17" s="78">
        <v>386</v>
      </c>
      <c r="O17" s="69">
        <f t="shared" si="1"/>
        <v>386</v>
      </c>
      <c r="P17" s="142">
        <f t="shared" si="2"/>
        <v>4420</v>
      </c>
      <c r="Q17" s="143"/>
    </row>
    <row r="18" spans="2:18" ht="30" customHeight="1">
      <c r="B18" s="3">
        <f t="shared" si="5"/>
        <v>7</v>
      </c>
      <c r="C18" s="3" t="s">
        <v>190</v>
      </c>
      <c r="D18" s="3" t="s">
        <v>191</v>
      </c>
      <c r="E18" s="117" t="s">
        <v>192</v>
      </c>
      <c r="F18" s="3" t="s">
        <v>172</v>
      </c>
      <c r="G18" s="3" t="s">
        <v>193</v>
      </c>
      <c r="H18" s="345">
        <f t="shared" si="4"/>
        <v>4621</v>
      </c>
      <c r="I18" s="3">
        <v>15</v>
      </c>
      <c r="J18" s="78">
        <v>4806</v>
      </c>
      <c r="K18" s="144"/>
      <c r="L18" s="69">
        <f t="shared" si="0"/>
        <v>4806</v>
      </c>
      <c r="M18" s="434"/>
      <c r="N18" s="78">
        <v>386</v>
      </c>
      <c r="O18" s="69">
        <f t="shared" si="1"/>
        <v>386</v>
      </c>
      <c r="P18" s="142">
        <f t="shared" si="2"/>
        <v>4420</v>
      </c>
      <c r="Q18" s="143"/>
    </row>
    <row r="19" spans="2:18" ht="30" customHeight="1">
      <c r="B19" s="3">
        <f t="shared" si="5"/>
        <v>8</v>
      </c>
      <c r="C19" s="3" t="s">
        <v>113</v>
      </c>
      <c r="D19" s="3" t="s">
        <v>92</v>
      </c>
      <c r="E19" s="117" t="s">
        <v>194</v>
      </c>
      <c r="F19" s="3" t="s">
        <v>172</v>
      </c>
      <c r="G19" s="3"/>
      <c r="H19" s="345">
        <f t="shared" si="4"/>
        <v>4621</v>
      </c>
      <c r="I19" s="3">
        <v>15</v>
      </c>
      <c r="J19" s="78">
        <v>4806</v>
      </c>
      <c r="K19" s="144"/>
      <c r="L19" s="69">
        <f t="shared" si="0"/>
        <v>4806</v>
      </c>
      <c r="M19" s="434"/>
      <c r="N19" s="78">
        <v>386</v>
      </c>
      <c r="O19" s="69">
        <f t="shared" si="1"/>
        <v>386</v>
      </c>
      <c r="P19" s="142">
        <f>L19-M19-O19</f>
        <v>4420</v>
      </c>
      <c r="Q19" s="143"/>
    </row>
    <row r="20" spans="2:18" ht="30" customHeight="1">
      <c r="B20" s="3">
        <f t="shared" si="5"/>
        <v>9</v>
      </c>
      <c r="C20" s="117" t="s">
        <v>106</v>
      </c>
      <c r="D20" s="117" t="s">
        <v>195</v>
      </c>
      <c r="E20" s="117" t="s">
        <v>196</v>
      </c>
      <c r="F20" s="117" t="s">
        <v>172</v>
      </c>
      <c r="G20" s="117"/>
      <c r="H20" s="345">
        <f t="shared" si="4"/>
        <v>4621</v>
      </c>
      <c r="I20" s="117">
        <v>15</v>
      </c>
      <c r="J20" s="78">
        <v>4806</v>
      </c>
      <c r="K20" s="290"/>
      <c r="L20" s="69">
        <f t="shared" si="0"/>
        <v>4806</v>
      </c>
      <c r="M20" s="434"/>
      <c r="N20" s="78">
        <v>386</v>
      </c>
      <c r="O20" s="69">
        <f t="shared" si="1"/>
        <v>386</v>
      </c>
      <c r="P20" s="291">
        <f t="shared" si="2"/>
        <v>4420</v>
      </c>
      <c r="Q20" s="143"/>
    </row>
    <row r="21" spans="2:18" ht="30" customHeight="1">
      <c r="B21" s="3">
        <f t="shared" si="5"/>
        <v>10</v>
      </c>
      <c r="C21" s="3" t="s">
        <v>123</v>
      </c>
      <c r="D21" s="3" t="s">
        <v>220</v>
      </c>
      <c r="E21" s="117" t="s">
        <v>221</v>
      </c>
      <c r="F21" s="3" t="s">
        <v>172</v>
      </c>
      <c r="G21" s="3"/>
      <c r="H21" s="345">
        <f>9242/2</f>
        <v>4621</v>
      </c>
      <c r="I21" s="3">
        <v>15</v>
      </c>
      <c r="J21" s="78">
        <v>4806</v>
      </c>
      <c r="K21" s="144"/>
      <c r="L21" s="69">
        <f t="shared" si="0"/>
        <v>4806</v>
      </c>
      <c r="M21" s="434"/>
      <c r="N21" s="78">
        <v>386</v>
      </c>
      <c r="O21" s="69">
        <f t="shared" si="1"/>
        <v>386</v>
      </c>
      <c r="P21" s="142">
        <f t="shared" si="2"/>
        <v>4420</v>
      </c>
      <c r="Q21" s="143"/>
    </row>
    <row r="22" spans="2:18" ht="30" customHeight="1">
      <c r="B22" s="3">
        <f t="shared" si="5"/>
        <v>11</v>
      </c>
      <c r="C22" s="121" t="s">
        <v>174</v>
      </c>
      <c r="D22" s="121" t="s">
        <v>222</v>
      </c>
      <c r="E22" s="253" t="s">
        <v>223</v>
      </c>
      <c r="F22" s="121" t="s">
        <v>172</v>
      </c>
      <c r="G22" s="121"/>
      <c r="H22" s="346">
        <f>9242/2</f>
        <v>4621</v>
      </c>
      <c r="I22" s="121">
        <v>15</v>
      </c>
      <c r="J22" s="78">
        <v>4806</v>
      </c>
      <c r="K22" s="144"/>
      <c r="L22" s="69">
        <f t="shared" si="0"/>
        <v>4806</v>
      </c>
      <c r="M22" s="141"/>
      <c r="N22" s="78">
        <v>386</v>
      </c>
      <c r="O22" s="86">
        <f t="shared" si="1"/>
        <v>386</v>
      </c>
      <c r="P22" s="142">
        <f t="shared" si="2"/>
        <v>4420</v>
      </c>
      <c r="Q22" s="139"/>
    </row>
    <row r="23" spans="2:18" ht="24.75" customHeight="1">
      <c r="B23" s="3">
        <f t="shared" si="5"/>
        <v>12</v>
      </c>
      <c r="C23" s="145" t="s">
        <v>82</v>
      </c>
      <c r="D23" s="145" t="s">
        <v>87</v>
      </c>
      <c r="E23" s="145" t="s">
        <v>203</v>
      </c>
      <c r="F23" s="145" t="s">
        <v>172</v>
      </c>
      <c r="G23" s="145"/>
      <c r="H23" s="347">
        <f>9242/2</f>
        <v>4621</v>
      </c>
      <c r="I23" s="145">
        <v>15</v>
      </c>
      <c r="J23" s="78">
        <v>4806</v>
      </c>
      <c r="K23" s="255"/>
      <c r="L23" s="69">
        <f t="shared" si="0"/>
        <v>4806</v>
      </c>
      <c r="M23" s="255"/>
      <c r="N23" s="78">
        <v>386</v>
      </c>
      <c r="O23" s="69">
        <f t="shared" si="1"/>
        <v>386</v>
      </c>
      <c r="P23" s="142">
        <f t="shared" si="2"/>
        <v>4420</v>
      </c>
      <c r="Q23" s="145"/>
      <c r="R23" s="116" t="s">
        <v>744</v>
      </c>
    </row>
    <row r="24" spans="2:18" ht="24.75" customHeight="1">
      <c r="B24" s="3">
        <f t="shared" si="5"/>
        <v>13</v>
      </c>
      <c r="C24" s="145" t="s">
        <v>686</v>
      </c>
      <c r="D24" s="145" t="s">
        <v>113</v>
      </c>
      <c r="E24" s="145" t="s">
        <v>687</v>
      </c>
      <c r="F24" s="145" t="s">
        <v>172</v>
      </c>
      <c r="G24" s="145"/>
      <c r="H24" s="347"/>
      <c r="I24" s="145">
        <v>15</v>
      </c>
      <c r="J24" s="78">
        <v>4806</v>
      </c>
      <c r="K24" s="255"/>
      <c r="L24" s="69">
        <f t="shared" si="0"/>
        <v>4806</v>
      </c>
      <c r="M24" s="255"/>
      <c r="N24" s="78">
        <v>386</v>
      </c>
      <c r="O24" s="69">
        <f t="shared" si="1"/>
        <v>386</v>
      </c>
      <c r="P24" s="77">
        <f>L24-O24</f>
        <v>4420</v>
      </c>
      <c r="Q24" s="145"/>
      <c r="R24" s="116" t="s">
        <v>743</v>
      </c>
    </row>
    <row r="25" spans="2:18" ht="24.75" customHeight="1">
      <c r="B25" s="3">
        <v>14</v>
      </c>
      <c r="C25" s="145" t="s">
        <v>289</v>
      </c>
      <c r="D25" s="145" t="s">
        <v>776</v>
      </c>
      <c r="E25" s="145" t="s">
        <v>777</v>
      </c>
      <c r="F25" s="145" t="s">
        <v>172</v>
      </c>
      <c r="G25" s="145"/>
      <c r="H25" s="347"/>
      <c r="I25" s="145">
        <v>15</v>
      </c>
      <c r="J25" s="78">
        <v>4806</v>
      </c>
      <c r="K25" s="255"/>
      <c r="L25" s="69">
        <f t="shared" si="0"/>
        <v>4806</v>
      </c>
      <c r="M25" s="255"/>
      <c r="N25" s="78">
        <v>386</v>
      </c>
      <c r="O25" s="69">
        <f t="shared" si="1"/>
        <v>386</v>
      </c>
      <c r="P25" s="77">
        <f>L25-O25</f>
        <v>4420</v>
      </c>
      <c r="Q25" s="145"/>
      <c r="R25" s="427" t="s">
        <v>778</v>
      </c>
    </row>
    <row r="26" spans="2:18" ht="24.75" customHeight="1">
      <c r="B26" s="3">
        <v>15</v>
      </c>
      <c r="C26" s="145" t="s">
        <v>795</v>
      </c>
      <c r="D26" s="145" t="s">
        <v>191</v>
      </c>
      <c r="E26" s="145" t="s">
        <v>796</v>
      </c>
      <c r="F26" s="145" t="s">
        <v>172</v>
      </c>
      <c r="G26" s="145"/>
      <c r="H26" s="347"/>
      <c r="I26" s="145">
        <v>5</v>
      </c>
      <c r="J26" s="78">
        <v>1602</v>
      </c>
      <c r="K26" s="255"/>
      <c r="L26" s="69">
        <f t="shared" si="0"/>
        <v>1602</v>
      </c>
      <c r="M26" s="255"/>
      <c r="N26" s="255">
        <v>128.66</v>
      </c>
      <c r="O26" s="69">
        <f t="shared" si="1"/>
        <v>128.66</v>
      </c>
      <c r="P26" s="77">
        <f>L26-O26</f>
        <v>1473.34</v>
      </c>
      <c r="Q26" s="145"/>
      <c r="R26" s="427" t="s">
        <v>799</v>
      </c>
    </row>
    <row r="27" spans="2:18" ht="22.5" customHeight="1" thickBot="1">
      <c r="B27" s="665" t="s">
        <v>50</v>
      </c>
      <c r="C27" s="666"/>
      <c r="D27" s="666"/>
      <c r="E27" s="666"/>
      <c r="F27" s="666"/>
      <c r="G27" s="666"/>
      <c r="H27" s="666"/>
      <c r="I27" s="666"/>
      <c r="J27" s="592">
        <f>SUM(J12:K25)</f>
        <v>69502</v>
      </c>
      <c r="K27" s="592">
        <f t="shared" ref="K27" si="6">SUM(K12:K23)</f>
        <v>0</v>
      </c>
      <c r="L27" s="592">
        <f>SUM(L12:L26)</f>
        <v>71104</v>
      </c>
      <c r="M27" s="592">
        <f>SUM(M12:M23)</f>
        <v>0</v>
      </c>
      <c r="N27" s="592">
        <f>SUM(N12:N26)</f>
        <v>5926.66</v>
      </c>
      <c r="O27" s="592">
        <f>SUM(O12:O26)</f>
        <v>5926.66</v>
      </c>
      <c r="P27" s="254">
        <f>SUM(P12:P25)</f>
        <v>63704</v>
      </c>
      <c r="Q27" s="146"/>
    </row>
    <row r="28" spans="2:18" ht="22.5" customHeight="1" thickTop="1">
      <c r="B28" s="147"/>
      <c r="C28" s="147"/>
      <c r="D28" s="147"/>
      <c r="E28" s="147"/>
      <c r="F28" s="147"/>
      <c r="G28" s="147"/>
      <c r="H28" s="348"/>
      <c r="I28" s="147"/>
      <c r="J28" s="148"/>
      <c r="K28" s="148"/>
      <c r="L28" s="148"/>
      <c r="M28" s="148"/>
      <c r="N28" s="148"/>
      <c r="O28" s="148"/>
      <c r="P28" s="149" t="s">
        <v>51</v>
      </c>
      <c r="Q28" s="146"/>
    </row>
    <row r="29" spans="2:18" ht="22.5" customHeight="1">
      <c r="B29" s="147"/>
      <c r="C29" s="147"/>
      <c r="D29" s="147"/>
      <c r="E29" s="147"/>
      <c r="F29" s="147"/>
      <c r="G29" s="147"/>
      <c r="H29" s="348"/>
      <c r="I29" s="147"/>
      <c r="J29" s="148"/>
      <c r="K29" s="148"/>
      <c r="L29" s="148"/>
      <c r="M29" s="148"/>
      <c r="N29" s="148"/>
      <c r="O29" s="148"/>
      <c r="P29" s="148"/>
      <c r="Q29" s="146"/>
    </row>
    <row r="30" spans="2:18" ht="22.5" customHeight="1">
      <c r="B30" s="151"/>
      <c r="C30" s="151"/>
      <c r="D30" s="151"/>
      <c r="E30" s="151"/>
      <c r="F30" s="147"/>
      <c r="G30" s="147"/>
      <c r="H30" s="348"/>
      <c r="I30" s="658"/>
      <c r="J30" s="658"/>
      <c r="K30" s="658"/>
      <c r="L30" s="658"/>
      <c r="M30" s="658"/>
      <c r="N30" s="148"/>
      <c r="O30" s="656"/>
      <c r="P30" s="656"/>
      <c r="Q30" s="656"/>
    </row>
    <row r="31" spans="2:18" ht="15" customHeight="1">
      <c r="B31" s="655" t="s">
        <v>759</v>
      </c>
      <c r="C31" s="655"/>
      <c r="D31" s="655"/>
      <c r="E31" s="655"/>
      <c r="F31" s="150"/>
      <c r="G31" s="150"/>
      <c r="H31" s="349"/>
      <c r="I31" s="655" t="s">
        <v>45</v>
      </c>
      <c r="J31" s="655"/>
      <c r="K31" s="655"/>
      <c r="L31" s="655"/>
      <c r="M31" s="655"/>
      <c r="O31" s="655" t="s">
        <v>616</v>
      </c>
      <c r="P31" s="655"/>
      <c r="Q31" s="655"/>
    </row>
    <row r="32" spans="2:18" ht="12.75">
      <c r="B32" s="655" t="s">
        <v>150</v>
      </c>
      <c r="C32" s="655"/>
      <c r="D32" s="655"/>
      <c r="E32" s="655"/>
      <c r="F32" s="150"/>
      <c r="I32" s="655" t="s">
        <v>151</v>
      </c>
      <c r="J32" s="655"/>
      <c r="K32" s="655"/>
      <c r="L32" s="655"/>
      <c r="M32" s="655"/>
      <c r="O32" s="657" t="s">
        <v>696</v>
      </c>
      <c r="P32" s="657"/>
      <c r="Q32" s="657"/>
    </row>
    <row r="33" spans="10:16">
      <c r="J33" s="116"/>
      <c r="L33" s="116"/>
    </row>
    <row r="34" spans="10:16" ht="15" customHeight="1">
      <c r="J34" s="115"/>
      <c r="L34" s="115"/>
      <c r="N34" s="115"/>
      <c r="O34" s="115"/>
      <c r="P34" s="115">
        <f>L27-O27</f>
        <v>65177.34</v>
      </c>
    </row>
    <row r="35" spans="10:16" ht="15" customHeight="1">
      <c r="J35" s="116"/>
      <c r="L35" s="116"/>
      <c r="P35" s="115">
        <f>P27-P34</f>
        <v>-1473.3399999999965</v>
      </c>
    </row>
  </sheetData>
  <mergeCells count="17">
    <mergeCell ref="B2:P2"/>
    <mergeCell ref="J8:L8"/>
    <mergeCell ref="N8:O8"/>
    <mergeCell ref="C9:E9"/>
    <mergeCell ref="B27:I27"/>
    <mergeCell ref="B3:Q3"/>
    <mergeCell ref="B4:Q4"/>
    <mergeCell ref="Q9:Q10"/>
    <mergeCell ref="N9:O9"/>
    <mergeCell ref="I32:M32"/>
    <mergeCell ref="B31:E31"/>
    <mergeCell ref="B32:E32"/>
    <mergeCell ref="O30:Q30"/>
    <mergeCell ref="O31:Q31"/>
    <mergeCell ref="O32:Q32"/>
    <mergeCell ref="I30:M30"/>
    <mergeCell ref="I31:M31"/>
  </mergeCells>
  <pageMargins left="0.7" right="0.7" top="0.75" bottom="0.75" header="0.3" footer="0.3"/>
  <pageSetup paperSize="14" scale="91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U52"/>
  <sheetViews>
    <sheetView topLeftCell="A28" workbookViewId="0">
      <selection activeCell="B35" sqref="B35:Q35"/>
    </sheetView>
  </sheetViews>
  <sheetFormatPr baseColWidth="10" defaultRowHeight="12.75"/>
  <cols>
    <col min="1" max="1" width="2.5703125" style="48" customWidth="1"/>
    <col min="2" max="2" width="3.28515625" style="48" customWidth="1"/>
    <col min="3" max="3" width="9" style="48" customWidth="1"/>
    <col min="4" max="4" width="9.28515625" style="48" customWidth="1"/>
    <col min="5" max="5" width="13.85546875" style="48" customWidth="1"/>
    <col min="6" max="6" width="17.85546875" style="48" customWidth="1"/>
    <col min="7" max="7" width="4.42578125" style="48" hidden="1" customWidth="1"/>
    <col min="8" max="8" width="4.28515625" style="48" customWidth="1"/>
    <col min="9" max="9" width="9.140625" style="48" hidden="1" customWidth="1"/>
    <col min="10" max="10" width="9.42578125" style="351" hidden="1" customWidth="1"/>
    <col min="11" max="11" width="12.140625" style="49" customWidth="1"/>
    <col min="12" max="12" width="12.85546875" style="49" hidden="1" customWidth="1"/>
    <col min="13" max="13" width="12" style="49" customWidth="1"/>
    <col min="14" max="15" width="10.140625" style="49" customWidth="1"/>
    <col min="16" max="16" width="11.28515625" style="49" customWidth="1"/>
    <col min="17" max="17" width="11.42578125" style="49" customWidth="1"/>
    <col min="18" max="18" width="12.5703125" style="49" customWidth="1"/>
    <col min="19" max="19" width="29.5703125" style="48" customWidth="1"/>
    <col min="20" max="21" width="17.140625" style="48" customWidth="1"/>
    <col min="22" max="16384" width="11.42578125" style="48"/>
  </cols>
  <sheetData>
    <row r="2" spans="2:21">
      <c r="B2" s="50"/>
      <c r="C2" s="51"/>
      <c r="D2" s="51"/>
      <c r="E2" s="51"/>
      <c r="F2" s="51"/>
      <c r="G2" s="51"/>
      <c r="H2" s="51"/>
      <c r="I2" s="51"/>
      <c r="J2" s="350"/>
      <c r="K2" s="52"/>
      <c r="L2" s="52"/>
      <c r="M2" s="52"/>
      <c r="N2" s="52"/>
      <c r="O2" s="52"/>
      <c r="P2" s="52"/>
      <c r="Q2" s="52"/>
      <c r="R2" s="52"/>
      <c r="S2" s="53"/>
    </row>
    <row r="3" spans="2:21" ht="19.5">
      <c r="B3" s="676" t="s">
        <v>215</v>
      </c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  <c r="O3" s="677"/>
      <c r="P3" s="677"/>
      <c r="Q3" s="677"/>
      <c r="R3" s="677"/>
      <c r="S3" s="678"/>
    </row>
    <row r="4" spans="2:21" ht="17.25">
      <c r="B4" s="649" t="s">
        <v>790</v>
      </c>
      <c r="C4" s="679"/>
      <c r="D4" s="679"/>
      <c r="E4" s="679"/>
      <c r="F4" s="679"/>
      <c r="G4" s="679"/>
      <c r="H4" s="679"/>
      <c r="I4" s="679"/>
      <c r="J4" s="679"/>
      <c r="K4" s="679"/>
      <c r="L4" s="679"/>
      <c r="M4" s="679"/>
      <c r="N4" s="679"/>
      <c r="O4" s="679"/>
      <c r="P4" s="679"/>
      <c r="Q4" s="679"/>
      <c r="R4" s="679"/>
      <c r="S4" s="680"/>
    </row>
    <row r="5" spans="2:21">
      <c r="B5" s="54"/>
      <c r="C5" s="55" t="s">
        <v>0</v>
      </c>
      <c r="D5" s="56"/>
      <c r="E5" s="56"/>
      <c r="K5" s="57"/>
      <c r="L5" s="57"/>
      <c r="M5" s="57"/>
      <c r="N5" s="57"/>
      <c r="O5" s="57"/>
      <c r="P5" s="57"/>
      <c r="Q5" s="57"/>
      <c r="R5" s="57"/>
      <c r="S5" s="58"/>
    </row>
    <row r="6" spans="2:21">
      <c r="B6" s="59"/>
      <c r="C6" s="252" t="s">
        <v>569</v>
      </c>
      <c r="D6" s="252"/>
      <c r="E6" s="60"/>
      <c r="F6" s="60"/>
      <c r="G6" s="60"/>
      <c r="H6" s="60"/>
      <c r="I6" s="60"/>
      <c r="J6" s="352"/>
      <c r="K6" s="61"/>
      <c r="L6" s="61"/>
      <c r="M6" s="61"/>
      <c r="N6" s="61"/>
      <c r="O6" s="61"/>
      <c r="P6" s="61"/>
      <c r="Q6" s="61"/>
      <c r="R6" s="61"/>
      <c r="S6" s="62"/>
    </row>
    <row r="7" spans="2:21" ht="15.75" customHeight="1">
      <c r="B7" s="506" t="s">
        <v>59</v>
      </c>
      <c r="C7" s="507"/>
      <c r="D7" s="507"/>
      <c r="E7" s="507"/>
      <c r="F7" s="673"/>
      <c r="G7" s="673"/>
      <c r="H7" s="673"/>
      <c r="I7" s="508"/>
      <c r="J7" s="508"/>
      <c r="K7" s="672" t="s">
        <v>60</v>
      </c>
      <c r="L7" s="672"/>
      <c r="M7" s="672"/>
      <c r="N7" s="672"/>
      <c r="O7" s="672"/>
      <c r="P7" s="674" t="s">
        <v>61</v>
      </c>
      <c r="Q7" s="675"/>
      <c r="R7" s="509"/>
      <c r="S7" s="681" t="s">
        <v>29</v>
      </c>
    </row>
    <row r="8" spans="2:21">
      <c r="B8" s="510" t="s">
        <v>62</v>
      </c>
      <c r="C8" s="511" t="s">
        <v>52</v>
      </c>
      <c r="D8" s="512"/>
      <c r="E8" s="512"/>
      <c r="F8" s="513"/>
      <c r="G8" s="514"/>
      <c r="H8" s="515" t="s">
        <v>63</v>
      </c>
      <c r="I8" s="515"/>
      <c r="J8" s="515"/>
      <c r="K8" s="516" t="s">
        <v>64</v>
      </c>
      <c r="L8" s="517" t="s">
        <v>65</v>
      </c>
      <c r="M8" s="516" t="s">
        <v>66</v>
      </c>
      <c r="N8" s="516" t="s">
        <v>67</v>
      </c>
      <c r="O8" s="516"/>
      <c r="P8" s="516"/>
      <c r="Q8" s="516" t="s">
        <v>68</v>
      </c>
      <c r="R8" s="518"/>
      <c r="S8" s="682"/>
    </row>
    <row r="9" spans="2:21">
      <c r="B9" s="519" t="s">
        <v>69</v>
      </c>
      <c r="C9" s="520" t="s">
        <v>53</v>
      </c>
      <c r="D9" s="520" t="s">
        <v>54</v>
      </c>
      <c r="E9" s="520" t="s">
        <v>55</v>
      </c>
      <c r="F9" s="520" t="s">
        <v>56</v>
      </c>
      <c r="G9" s="521" t="s">
        <v>57</v>
      </c>
      <c r="H9" s="522" t="s">
        <v>70</v>
      </c>
      <c r="I9" s="522"/>
      <c r="J9" s="522"/>
      <c r="K9" s="523" t="s">
        <v>71</v>
      </c>
      <c r="L9" s="524" t="s">
        <v>72</v>
      </c>
      <c r="M9" s="523" t="s">
        <v>73</v>
      </c>
      <c r="N9" s="523" t="s">
        <v>74</v>
      </c>
      <c r="O9" s="523" t="s">
        <v>605</v>
      </c>
      <c r="P9" s="523" t="s">
        <v>75</v>
      </c>
      <c r="Q9" s="523" t="s">
        <v>76</v>
      </c>
      <c r="R9" s="525" t="s">
        <v>77</v>
      </c>
      <c r="S9" s="683"/>
    </row>
    <row r="10" spans="2:21">
      <c r="B10" s="98"/>
      <c r="C10" s="63"/>
      <c r="D10" s="63"/>
      <c r="E10" s="63"/>
      <c r="F10" s="63"/>
      <c r="G10" s="63"/>
      <c r="H10" s="63"/>
      <c r="I10" s="63"/>
      <c r="J10" s="353"/>
      <c r="K10" s="64"/>
      <c r="L10" s="64"/>
      <c r="M10" s="64"/>
      <c r="N10" s="64"/>
      <c r="O10" s="64"/>
      <c r="P10" s="64"/>
      <c r="Q10" s="64"/>
      <c r="R10" s="64"/>
      <c r="S10" s="65"/>
    </row>
    <row r="11" spans="2:21" ht="27.95" customHeight="1">
      <c r="B11" s="1">
        <v>1</v>
      </c>
      <c r="C11" s="2" t="s">
        <v>78</v>
      </c>
      <c r="D11" s="2" t="s">
        <v>79</v>
      </c>
      <c r="E11" s="2" t="s">
        <v>80</v>
      </c>
      <c r="F11" s="2" t="s">
        <v>81</v>
      </c>
      <c r="G11" s="66"/>
      <c r="H11" s="67">
        <v>15</v>
      </c>
      <c r="I11" s="68">
        <f>K11/15</f>
        <v>242.53333333333333</v>
      </c>
      <c r="J11" s="354">
        <f>6996/2</f>
        <v>3498</v>
      </c>
      <c r="K11" s="78">
        <v>3638</v>
      </c>
      <c r="L11" s="69"/>
      <c r="M11" s="69">
        <f>K11</f>
        <v>3638</v>
      </c>
      <c r="N11" s="69">
        <v>0</v>
      </c>
      <c r="O11" s="78"/>
      <c r="P11" s="69">
        <v>150</v>
      </c>
      <c r="Q11" s="70">
        <f>O11+P11</f>
        <v>150</v>
      </c>
      <c r="R11" s="71">
        <f>M11-Q11</f>
        <v>3488</v>
      </c>
      <c r="S11" s="72"/>
      <c r="T11" s="73"/>
      <c r="U11" s="49">
        <v>2746.82</v>
      </c>
    </row>
    <row r="12" spans="2:21" ht="27.95" customHeight="1">
      <c r="B12" s="1">
        <v>2</v>
      </c>
      <c r="C12" s="2" t="s">
        <v>82</v>
      </c>
      <c r="D12" s="2" t="s">
        <v>83</v>
      </c>
      <c r="E12" s="2" t="s">
        <v>84</v>
      </c>
      <c r="F12" s="2" t="s">
        <v>85</v>
      </c>
      <c r="G12" s="67"/>
      <c r="H12" s="67">
        <v>15</v>
      </c>
      <c r="I12" s="68">
        <f t="shared" ref="I12:I20" si="0">K12/15</f>
        <v>248.53333333333333</v>
      </c>
      <c r="J12" s="354">
        <f>7170/2</f>
        <v>3585</v>
      </c>
      <c r="K12" s="78">
        <v>3728</v>
      </c>
      <c r="L12" s="69"/>
      <c r="M12" s="69">
        <f t="shared" ref="M12:M33" si="1">K12</f>
        <v>3728</v>
      </c>
      <c r="N12" s="69">
        <v>0</v>
      </c>
      <c r="O12" s="78"/>
      <c r="P12" s="69">
        <v>269</v>
      </c>
      <c r="Q12" s="70">
        <f t="shared" ref="Q12:Q34" si="2">P12</f>
        <v>269</v>
      </c>
      <c r="R12" s="71">
        <f t="shared" ref="R12:R34" si="3">M12+N12-Q12-O12</f>
        <v>3459</v>
      </c>
      <c r="S12" s="74"/>
      <c r="U12" s="49">
        <v>3321.69</v>
      </c>
    </row>
    <row r="13" spans="2:21" ht="27.95" customHeight="1">
      <c r="B13" s="1">
        <v>3</v>
      </c>
      <c r="C13" s="2" t="s">
        <v>86</v>
      </c>
      <c r="D13" s="2" t="s">
        <v>87</v>
      </c>
      <c r="E13" s="2" t="s">
        <v>88</v>
      </c>
      <c r="F13" s="2" t="s">
        <v>89</v>
      </c>
      <c r="G13" s="67"/>
      <c r="H13" s="67">
        <v>15</v>
      </c>
      <c r="I13" s="68">
        <f t="shared" si="0"/>
        <v>285.06666666666666</v>
      </c>
      <c r="J13" s="354">
        <f>8224/2</f>
        <v>4112</v>
      </c>
      <c r="K13" s="78">
        <v>4276</v>
      </c>
      <c r="L13" s="69"/>
      <c r="M13" s="69">
        <f t="shared" si="1"/>
        <v>4276</v>
      </c>
      <c r="N13" s="69">
        <v>0</v>
      </c>
      <c r="O13" s="69"/>
      <c r="P13" s="69">
        <v>328</v>
      </c>
      <c r="Q13" s="70">
        <f t="shared" si="2"/>
        <v>328</v>
      </c>
      <c r="R13" s="71">
        <f>M13+N13-Q13-O13</f>
        <v>3948</v>
      </c>
      <c r="S13" s="74"/>
      <c r="U13" s="49">
        <v>3646.75</v>
      </c>
    </row>
    <row r="14" spans="2:21" ht="27.95" customHeight="1">
      <c r="B14" s="1">
        <v>4</v>
      </c>
      <c r="C14" s="2" t="s">
        <v>148</v>
      </c>
      <c r="D14" s="2" t="s">
        <v>123</v>
      </c>
      <c r="E14" s="2" t="s">
        <v>90</v>
      </c>
      <c r="F14" s="2" t="s">
        <v>81</v>
      </c>
      <c r="G14" s="67"/>
      <c r="H14" s="67">
        <v>15</v>
      </c>
      <c r="I14" s="68">
        <f t="shared" si="0"/>
        <v>242.53333333333333</v>
      </c>
      <c r="J14" s="354">
        <f>6996/2</f>
        <v>3498</v>
      </c>
      <c r="K14" s="78">
        <v>3638</v>
      </c>
      <c r="L14" s="69"/>
      <c r="M14" s="69">
        <f t="shared" si="1"/>
        <v>3638</v>
      </c>
      <c r="N14" s="69">
        <v>0</v>
      </c>
      <c r="O14" s="69"/>
      <c r="P14" s="69">
        <v>150</v>
      </c>
      <c r="Q14" s="70">
        <f t="shared" si="2"/>
        <v>150</v>
      </c>
      <c r="R14" s="71">
        <f t="shared" si="3"/>
        <v>3488</v>
      </c>
      <c r="S14" s="74"/>
      <c r="U14" s="49">
        <v>3246.82</v>
      </c>
    </row>
    <row r="15" spans="2:21" ht="27.95" customHeight="1">
      <c r="B15" s="1">
        <v>5</v>
      </c>
      <c r="C15" s="2" t="s">
        <v>91</v>
      </c>
      <c r="D15" s="2" t="s">
        <v>92</v>
      </c>
      <c r="E15" s="2" t="s">
        <v>93</v>
      </c>
      <c r="F15" s="2" t="s">
        <v>94</v>
      </c>
      <c r="G15" s="75"/>
      <c r="H15" s="76">
        <v>15</v>
      </c>
      <c r="I15" s="77">
        <f t="shared" si="0"/>
        <v>346.06666666666666</v>
      </c>
      <c r="J15" s="355">
        <f>9984/2</f>
        <v>4992</v>
      </c>
      <c r="K15" s="78">
        <v>5191</v>
      </c>
      <c r="L15" s="78"/>
      <c r="M15" s="69">
        <f t="shared" si="1"/>
        <v>5191</v>
      </c>
      <c r="N15" s="78">
        <v>0</v>
      </c>
      <c r="O15" s="78"/>
      <c r="P15" s="78">
        <v>447</v>
      </c>
      <c r="Q15" s="70">
        <f t="shared" si="2"/>
        <v>447</v>
      </c>
      <c r="R15" s="71">
        <f t="shared" si="3"/>
        <v>4744</v>
      </c>
      <c r="S15" s="79"/>
      <c r="U15" s="49">
        <v>2840.49</v>
      </c>
    </row>
    <row r="16" spans="2:21" ht="27.95" customHeight="1">
      <c r="B16" s="1">
        <v>6</v>
      </c>
      <c r="C16" s="7" t="s">
        <v>177</v>
      </c>
      <c r="D16" s="7" t="s">
        <v>213</v>
      </c>
      <c r="E16" s="7" t="s">
        <v>218</v>
      </c>
      <c r="F16" s="7" t="s">
        <v>81</v>
      </c>
      <c r="G16" s="66"/>
      <c r="H16" s="67">
        <v>15</v>
      </c>
      <c r="I16" s="68">
        <f t="shared" si="0"/>
        <v>267.66666666666669</v>
      </c>
      <c r="J16" s="354">
        <v>3861.14</v>
      </c>
      <c r="K16" s="78">
        <v>4015</v>
      </c>
      <c r="L16" s="69"/>
      <c r="M16" s="69">
        <f t="shared" si="1"/>
        <v>4015</v>
      </c>
      <c r="N16" s="69">
        <v>0</v>
      </c>
      <c r="O16" s="69"/>
      <c r="P16" s="69">
        <v>300</v>
      </c>
      <c r="Q16" s="70">
        <f t="shared" si="2"/>
        <v>300</v>
      </c>
      <c r="R16" s="71">
        <f t="shared" si="3"/>
        <v>3715</v>
      </c>
      <c r="S16" s="74"/>
      <c r="U16" s="49">
        <v>3000.9</v>
      </c>
    </row>
    <row r="17" spans="2:21" ht="27.95" customHeight="1">
      <c r="B17" s="1">
        <v>7</v>
      </c>
      <c r="C17" s="2" t="s">
        <v>95</v>
      </c>
      <c r="D17" s="2" t="s">
        <v>96</v>
      </c>
      <c r="E17" s="2" t="s">
        <v>97</v>
      </c>
      <c r="F17" s="2" t="s">
        <v>81</v>
      </c>
      <c r="G17" s="66"/>
      <c r="H17" s="67">
        <v>15</v>
      </c>
      <c r="I17" s="68">
        <f t="shared" si="0"/>
        <v>285.06666666666666</v>
      </c>
      <c r="J17" s="354">
        <f>8224/2</f>
        <v>4112</v>
      </c>
      <c r="K17" s="78">
        <v>4276</v>
      </c>
      <c r="L17" s="69"/>
      <c r="M17" s="69">
        <f t="shared" si="1"/>
        <v>4276</v>
      </c>
      <c r="N17" s="69">
        <v>0</v>
      </c>
      <c r="O17" s="69"/>
      <c r="P17" s="69">
        <v>328</v>
      </c>
      <c r="Q17" s="70">
        <f t="shared" si="2"/>
        <v>328</v>
      </c>
      <c r="R17" s="71">
        <f t="shared" si="3"/>
        <v>3948</v>
      </c>
      <c r="S17" s="74"/>
      <c r="T17" s="73"/>
      <c r="U17" s="49">
        <v>3646.75</v>
      </c>
    </row>
    <row r="18" spans="2:21" ht="27.95" customHeight="1">
      <c r="B18" s="1">
        <v>8</v>
      </c>
      <c r="C18" s="2" t="s">
        <v>83</v>
      </c>
      <c r="D18" s="2" t="s">
        <v>98</v>
      </c>
      <c r="E18" s="2" t="s">
        <v>99</v>
      </c>
      <c r="F18" s="2" t="s">
        <v>100</v>
      </c>
      <c r="G18" s="66"/>
      <c r="H18" s="67">
        <v>15</v>
      </c>
      <c r="I18" s="68">
        <f>K18/15</f>
        <v>478.93333333333334</v>
      </c>
      <c r="J18" s="354">
        <f>13816/2</f>
        <v>6908</v>
      </c>
      <c r="K18" s="78">
        <v>7184</v>
      </c>
      <c r="L18" s="69"/>
      <c r="M18" s="69">
        <f t="shared" si="1"/>
        <v>7184</v>
      </c>
      <c r="N18" s="69">
        <v>0</v>
      </c>
      <c r="O18" s="69"/>
      <c r="P18" s="69">
        <v>814</v>
      </c>
      <c r="Q18" s="70">
        <f t="shared" si="2"/>
        <v>814</v>
      </c>
      <c r="R18" s="71">
        <f t="shared" si="3"/>
        <v>6370</v>
      </c>
      <c r="S18" s="74"/>
      <c r="U18" s="49">
        <v>5870.78</v>
      </c>
    </row>
    <row r="19" spans="2:21" ht="27.95" customHeight="1">
      <c r="B19" s="1">
        <v>9</v>
      </c>
      <c r="C19" s="2" t="s">
        <v>101</v>
      </c>
      <c r="D19" s="2" t="s">
        <v>102</v>
      </c>
      <c r="E19" s="2" t="s">
        <v>103</v>
      </c>
      <c r="F19" s="2" t="s">
        <v>104</v>
      </c>
      <c r="G19" s="66"/>
      <c r="H19" s="67">
        <v>15</v>
      </c>
      <c r="I19" s="68">
        <f t="shared" si="0"/>
        <v>105.13333333333334</v>
      </c>
      <c r="J19" s="354">
        <f>3032/2</f>
        <v>1516</v>
      </c>
      <c r="K19" s="78">
        <v>1577</v>
      </c>
      <c r="L19" s="69"/>
      <c r="M19" s="69">
        <f t="shared" si="1"/>
        <v>1577</v>
      </c>
      <c r="N19" s="69">
        <v>116.82</v>
      </c>
      <c r="O19" s="69"/>
      <c r="P19" s="69"/>
      <c r="Q19" s="70">
        <f t="shared" si="2"/>
        <v>0</v>
      </c>
      <c r="R19" s="71">
        <f t="shared" si="3"/>
        <v>1693.82</v>
      </c>
      <c r="S19" s="74"/>
      <c r="U19" s="49">
        <v>1567.85</v>
      </c>
    </row>
    <row r="20" spans="2:21" ht="27.95" customHeight="1">
      <c r="B20" s="1">
        <v>10</v>
      </c>
      <c r="C20" s="3" t="s">
        <v>106</v>
      </c>
      <c r="D20" s="3" t="s">
        <v>101</v>
      </c>
      <c r="E20" s="3" t="s">
        <v>107</v>
      </c>
      <c r="F20" s="3" t="s">
        <v>81</v>
      </c>
      <c r="G20" s="80"/>
      <c r="H20" s="80">
        <v>15</v>
      </c>
      <c r="I20" s="77">
        <f t="shared" si="0"/>
        <v>298.2</v>
      </c>
      <c r="J20" s="355">
        <f>8602/2</f>
        <v>4301</v>
      </c>
      <c r="K20" s="78">
        <v>4473</v>
      </c>
      <c r="L20" s="78"/>
      <c r="M20" s="69">
        <f t="shared" si="1"/>
        <v>4473</v>
      </c>
      <c r="N20" s="81">
        <v>0</v>
      </c>
      <c r="O20" s="81"/>
      <c r="P20" s="81">
        <v>350</v>
      </c>
      <c r="Q20" s="70">
        <f t="shared" si="2"/>
        <v>350</v>
      </c>
      <c r="R20" s="71">
        <f t="shared" si="3"/>
        <v>4123</v>
      </c>
      <c r="S20" s="79"/>
      <c r="U20" s="49">
        <v>3808.94</v>
      </c>
    </row>
    <row r="21" spans="2:21" ht="27.95" customHeight="1">
      <c r="B21" s="1">
        <v>11</v>
      </c>
      <c r="C21" s="2" t="s">
        <v>110</v>
      </c>
      <c r="D21" s="2" t="s">
        <v>600</v>
      </c>
      <c r="E21" s="2" t="s">
        <v>111</v>
      </c>
      <c r="F21" s="2" t="s">
        <v>112</v>
      </c>
      <c r="G21" s="66"/>
      <c r="H21" s="67">
        <v>15</v>
      </c>
      <c r="I21" s="68">
        <f>K21/15</f>
        <v>208.2</v>
      </c>
      <c r="J21" s="354">
        <f>6006/2</f>
        <v>3003</v>
      </c>
      <c r="K21" s="472">
        <v>3123</v>
      </c>
      <c r="L21" s="69"/>
      <c r="M21" s="69">
        <f t="shared" si="1"/>
        <v>3123</v>
      </c>
      <c r="N21" s="69">
        <v>0</v>
      </c>
      <c r="O21" s="78"/>
      <c r="P21" s="78">
        <v>76</v>
      </c>
      <c r="Q21" s="70">
        <f>P21</f>
        <v>76</v>
      </c>
      <c r="R21" s="71">
        <f>M21+N21-Q21-O21</f>
        <v>3047</v>
      </c>
      <c r="S21" s="74"/>
      <c r="U21" s="49">
        <v>2844.08</v>
      </c>
    </row>
    <row r="22" spans="2:21" ht="27.95" customHeight="1">
      <c r="B22" s="1">
        <v>12</v>
      </c>
      <c r="C22" s="5" t="s">
        <v>113</v>
      </c>
      <c r="D22" s="5" t="s">
        <v>113</v>
      </c>
      <c r="E22" s="5" t="s">
        <v>114</v>
      </c>
      <c r="F22" s="5" t="s">
        <v>115</v>
      </c>
      <c r="G22" s="82"/>
      <c r="H22" s="83">
        <v>15</v>
      </c>
      <c r="I22" s="84">
        <f>K22/15</f>
        <v>204.2</v>
      </c>
      <c r="J22" s="356">
        <f>5166/2</f>
        <v>2583</v>
      </c>
      <c r="K22" s="473">
        <v>3063</v>
      </c>
      <c r="L22" s="86"/>
      <c r="M22" s="69">
        <f t="shared" si="1"/>
        <v>3063</v>
      </c>
      <c r="N22" s="86"/>
      <c r="O22" s="86"/>
      <c r="P22" s="86">
        <v>49</v>
      </c>
      <c r="Q22" s="70">
        <f t="shared" si="2"/>
        <v>49</v>
      </c>
      <c r="R22" s="71">
        <f>M22+N22-Q22-O22</f>
        <v>3014</v>
      </c>
      <c r="S22" s="74"/>
      <c r="U22" s="49">
        <v>2477.7399999999998</v>
      </c>
    </row>
    <row r="23" spans="2:21" ht="27.95" customHeight="1">
      <c r="B23" s="1">
        <v>13</v>
      </c>
      <c r="C23" s="2" t="s">
        <v>116</v>
      </c>
      <c r="D23" s="2" t="s">
        <v>117</v>
      </c>
      <c r="E23" s="2" t="s">
        <v>118</v>
      </c>
      <c r="F23" s="2" t="s">
        <v>119</v>
      </c>
      <c r="G23" s="67"/>
      <c r="H23" s="67">
        <v>15</v>
      </c>
      <c r="I23" s="87">
        <f t="shared" ref="I23:I34" si="4">K23/15</f>
        <v>30.2</v>
      </c>
      <c r="J23" s="357">
        <f>872/2</f>
        <v>436</v>
      </c>
      <c r="K23" s="78">
        <v>453</v>
      </c>
      <c r="L23" s="69">
        <v>0</v>
      </c>
      <c r="M23" s="69">
        <f t="shared" si="1"/>
        <v>453</v>
      </c>
      <c r="N23" s="69">
        <v>188.95</v>
      </c>
      <c r="O23" s="69"/>
      <c r="P23" s="69"/>
      <c r="Q23" s="70">
        <f t="shared" si="2"/>
        <v>0</v>
      </c>
      <c r="R23" s="71">
        <f t="shared" si="3"/>
        <v>641.95000000000005</v>
      </c>
      <c r="S23" s="74"/>
      <c r="U23" s="49">
        <v>604.91</v>
      </c>
    </row>
    <row r="24" spans="2:21" ht="27.95" customHeight="1">
      <c r="B24" s="1">
        <v>14</v>
      </c>
      <c r="C24" s="2" t="s">
        <v>120</v>
      </c>
      <c r="D24" s="2" t="s">
        <v>121</v>
      </c>
      <c r="E24" s="2" t="s">
        <v>122</v>
      </c>
      <c r="F24" s="2" t="s">
        <v>271</v>
      </c>
      <c r="G24" s="67"/>
      <c r="H24" s="67">
        <v>15</v>
      </c>
      <c r="I24" s="87">
        <f t="shared" si="4"/>
        <v>148.66666666666666</v>
      </c>
      <c r="J24" s="357">
        <f>4288/2</f>
        <v>2144</v>
      </c>
      <c r="K24" s="78">
        <v>2230</v>
      </c>
      <c r="L24" s="69">
        <v>0</v>
      </c>
      <c r="M24" s="69">
        <f t="shared" si="1"/>
        <v>2230</v>
      </c>
      <c r="N24" s="78">
        <v>48.83</v>
      </c>
      <c r="O24" s="78"/>
      <c r="P24" s="69"/>
      <c r="Q24" s="70">
        <f t="shared" si="2"/>
        <v>0</v>
      </c>
      <c r="R24" s="71">
        <f t="shared" si="3"/>
        <v>2278.83</v>
      </c>
      <c r="S24" s="72"/>
      <c r="U24" s="49">
        <v>2115.5</v>
      </c>
    </row>
    <row r="25" spans="2:21" ht="27.95" customHeight="1">
      <c r="B25" s="1">
        <v>15</v>
      </c>
      <c r="C25" s="2" t="s">
        <v>123</v>
      </c>
      <c r="D25" s="2" t="s">
        <v>124</v>
      </c>
      <c r="E25" s="2" t="s">
        <v>125</v>
      </c>
      <c r="F25" s="2" t="s">
        <v>126</v>
      </c>
      <c r="G25" s="67"/>
      <c r="H25" s="67">
        <v>15</v>
      </c>
      <c r="I25" s="87">
        <f t="shared" si="4"/>
        <v>257</v>
      </c>
      <c r="J25" s="357">
        <f>7414/2</f>
        <v>3707</v>
      </c>
      <c r="K25" s="78">
        <v>3855</v>
      </c>
      <c r="L25" s="69">
        <v>0</v>
      </c>
      <c r="M25" s="69">
        <f t="shared" si="1"/>
        <v>3855</v>
      </c>
      <c r="N25" s="69"/>
      <c r="O25" s="69"/>
      <c r="P25" s="88">
        <v>282</v>
      </c>
      <c r="Q25" s="70">
        <f t="shared" si="2"/>
        <v>282</v>
      </c>
      <c r="R25" s="71">
        <f t="shared" si="3"/>
        <v>3573</v>
      </c>
      <c r="S25" s="74"/>
      <c r="U25" s="49">
        <v>3407.99</v>
      </c>
    </row>
    <row r="26" spans="2:21" ht="27.95" customHeight="1">
      <c r="B26" s="1">
        <v>16</v>
      </c>
      <c r="C26" s="2" t="s">
        <v>127</v>
      </c>
      <c r="D26" s="2" t="s">
        <v>121</v>
      </c>
      <c r="E26" s="2" t="s">
        <v>128</v>
      </c>
      <c r="F26" s="2" t="s">
        <v>129</v>
      </c>
      <c r="G26" s="67"/>
      <c r="H26" s="67">
        <v>15</v>
      </c>
      <c r="I26" s="87">
        <f t="shared" si="4"/>
        <v>285.06666666666666</v>
      </c>
      <c r="J26" s="357">
        <f>8224/2</f>
        <v>4112</v>
      </c>
      <c r="K26" s="78">
        <v>4276</v>
      </c>
      <c r="L26" s="69">
        <v>0</v>
      </c>
      <c r="M26" s="69">
        <f t="shared" si="1"/>
        <v>4276</v>
      </c>
      <c r="N26" s="69">
        <v>0</v>
      </c>
      <c r="O26" s="78"/>
      <c r="P26" s="69">
        <v>328</v>
      </c>
      <c r="Q26" s="70">
        <f t="shared" si="2"/>
        <v>328</v>
      </c>
      <c r="R26" s="71">
        <f t="shared" si="3"/>
        <v>3948</v>
      </c>
      <c r="S26" s="74"/>
      <c r="U26" s="49">
        <v>3646.75</v>
      </c>
    </row>
    <row r="27" spans="2:21" ht="28.5" customHeight="1">
      <c r="B27" s="1">
        <v>17</v>
      </c>
      <c r="C27" s="2" t="s">
        <v>289</v>
      </c>
      <c r="D27" s="2" t="s">
        <v>177</v>
      </c>
      <c r="E27" s="2" t="s">
        <v>290</v>
      </c>
      <c r="F27" s="100" t="s">
        <v>270</v>
      </c>
      <c r="G27" s="67"/>
      <c r="H27" s="67">
        <v>15</v>
      </c>
      <c r="I27" s="87">
        <f t="shared" si="4"/>
        <v>290.33333333333331</v>
      </c>
      <c r="J27" s="357">
        <f>8376/2</f>
        <v>4188</v>
      </c>
      <c r="K27" s="78">
        <v>4355</v>
      </c>
      <c r="L27" s="69">
        <v>0</v>
      </c>
      <c r="M27" s="69">
        <f t="shared" si="1"/>
        <v>4355</v>
      </c>
      <c r="N27" s="69">
        <v>0</v>
      </c>
      <c r="O27" s="78"/>
      <c r="P27" s="69">
        <v>337</v>
      </c>
      <c r="Q27" s="70">
        <f t="shared" si="2"/>
        <v>337</v>
      </c>
      <c r="R27" s="71">
        <f t="shared" si="3"/>
        <v>4018</v>
      </c>
      <c r="S27" s="74"/>
      <c r="U27" s="49">
        <v>3711.81</v>
      </c>
    </row>
    <row r="28" spans="2:21" ht="27.95" customHeight="1">
      <c r="B28" s="1">
        <v>18</v>
      </c>
      <c r="C28" s="2" t="s">
        <v>131</v>
      </c>
      <c r="D28" s="2" t="s">
        <v>132</v>
      </c>
      <c r="E28" s="2" t="s">
        <v>133</v>
      </c>
      <c r="F28" s="2" t="s">
        <v>134</v>
      </c>
      <c r="G28" s="67"/>
      <c r="H28" s="67">
        <v>15</v>
      </c>
      <c r="I28" s="87">
        <f t="shared" si="4"/>
        <v>247.13333333333333</v>
      </c>
      <c r="J28" s="357">
        <f>7128/2</f>
        <v>3564</v>
      </c>
      <c r="K28" s="78">
        <v>3707</v>
      </c>
      <c r="L28" s="69">
        <v>0</v>
      </c>
      <c r="M28" s="69">
        <f t="shared" si="1"/>
        <v>3707</v>
      </c>
      <c r="N28" s="69">
        <v>0</v>
      </c>
      <c r="O28" s="69"/>
      <c r="P28" s="69">
        <v>266</v>
      </c>
      <c r="Q28" s="70">
        <f t="shared" si="2"/>
        <v>266</v>
      </c>
      <c r="R28" s="71">
        <f t="shared" si="3"/>
        <v>3441</v>
      </c>
      <c r="S28" s="74"/>
      <c r="U28" s="49">
        <v>3303.86</v>
      </c>
    </row>
    <row r="29" spans="2:21" ht="27.95" customHeight="1">
      <c r="B29" s="1">
        <v>19</v>
      </c>
      <c r="C29" s="2" t="s">
        <v>135</v>
      </c>
      <c r="D29" s="2" t="s">
        <v>136</v>
      </c>
      <c r="E29" s="2" t="s">
        <v>137</v>
      </c>
      <c r="F29" s="2" t="s">
        <v>138</v>
      </c>
      <c r="G29" s="67"/>
      <c r="H29" s="67">
        <v>15</v>
      </c>
      <c r="I29" s="87">
        <f t="shared" si="4"/>
        <v>144.93333333333334</v>
      </c>
      <c r="J29" s="357">
        <f>4180/2</f>
        <v>2090</v>
      </c>
      <c r="K29" s="78">
        <v>2174</v>
      </c>
      <c r="L29" s="69">
        <v>0</v>
      </c>
      <c r="M29" s="69">
        <f t="shared" si="1"/>
        <v>2174</v>
      </c>
      <c r="N29" s="69">
        <v>66.53</v>
      </c>
      <c r="O29" s="69"/>
      <c r="P29" s="69"/>
      <c r="Q29" s="70">
        <f t="shared" si="2"/>
        <v>0</v>
      </c>
      <c r="R29" s="71">
        <f t="shared" si="3"/>
        <v>2240.5300000000002</v>
      </c>
      <c r="S29" s="74"/>
      <c r="U29" s="49">
        <v>2063.83</v>
      </c>
    </row>
    <row r="30" spans="2:21" ht="27.95" customHeight="1">
      <c r="B30" s="1">
        <v>20</v>
      </c>
      <c r="C30" s="2" t="s">
        <v>130</v>
      </c>
      <c r="D30" s="2" t="s">
        <v>139</v>
      </c>
      <c r="E30" s="2" t="s">
        <v>140</v>
      </c>
      <c r="F30" s="2" t="s">
        <v>141</v>
      </c>
      <c r="G30" s="67"/>
      <c r="H30" s="67">
        <v>15</v>
      </c>
      <c r="I30" s="87">
        <f t="shared" si="4"/>
        <v>198.53333333333333</v>
      </c>
      <c r="J30" s="357">
        <f>5726/2</f>
        <v>2863</v>
      </c>
      <c r="K30" s="78">
        <v>2978</v>
      </c>
      <c r="L30" s="69">
        <v>0</v>
      </c>
      <c r="M30" s="69">
        <f t="shared" si="1"/>
        <v>2978</v>
      </c>
      <c r="N30" s="69">
        <v>0</v>
      </c>
      <c r="O30" s="69"/>
      <c r="P30" s="69">
        <v>40</v>
      </c>
      <c r="Q30" s="70">
        <f t="shared" si="2"/>
        <v>40</v>
      </c>
      <c r="R30" s="71">
        <f t="shared" si="3"/>
        <v>2938</v>
      </c>
      <c r="S30" s="74"/>
      <c r="U30" s="49">
        <v>2700.57</v>
      </c>
    </row>
    <row r="31" spans="2:21" ht="27.95" customHeight="1">
      <c r="B31" s="1">
        <v>21</v>
      </c>
      <c r="C31" s="2" t="s">
        <v>109</v>
      </c>
      <c r="D31" s="2" t="s">
        <v>142</v>
      </c>
      <c r="E31" s="2" t="s">
        <v>143</v>
      </c>
      <c r="F31" s="2" t="s">
        <v>108</v>
      </c>
      <c r="G31" s="67"/>
      <c r="H31" s="67">
        <v>15</v>
      </c>
      <c r="I31" s="87">
        <f t="shared" si="4"/>
        <v>238</v>
      </c>
      <c r="J31" s="357">
        <f>6866/2</f>
        <v>3433</v>
      </c>
      <c r="K31" s="78">
        <v>3570</v>
      </c>
      <c r="L31" s="69">
        <v>0</v>
      </c>
      <c r="M31" s="69">
        <f t="shared" si="1"/>
        <v>3570</v>
      </c>
      <c r="N31" s="69">
        <v>0</v>
      </c>
      <c r="O31" s="69"/>
      <c r="P31" s="69">
        <v>143</v>
      </c>
      <c r="Q31" s="70">
        <f t="shared" si="2"/>
        <v>143</v>
      </c>
      <c r="R31" s="71">
        <f t="shared" si="3"/>
        <v>3427</v>
      </c>
      <c r="S31" s="74"/>
      <c r="U31" s="49">
        <v>3191.57</v>
      </c>
    </row>
    <row r="32" spans="2:21" ht="27.95" customHeight="1">
      <c r="B32" s="1">
        <v>22</v>
      </c>
      <c r="C32" s="2" t="s">
        <v>144</v>
      </c>
      <c r="D32" s="2" t="s">
        <v>145</v>
      </c>
      <c r="E32" s="2" t="s">
        <v>146</v>
      </c>
      <c r="F32" s="2" t="s">
        <v>81</v>
      </c>
      <c r="G32" s="67"/>
      <c r="H32" s="67">
        <v>15</v>
      </c>
      <c r="I32" s="87">
        <f t="shared" si="4"/>
        <v>233</v>
      </c>
      <c r="J32" s="357">
        <f>6722/2</f>
        <v>3361</v>
      </c>
      <c r="K32" s="78">
        <v>3495</v>
      </c>
      <c r="L32" s="69">
        <v>0</v>
      </c>
      <c r="M32" s="69">
        <f t="shared" si="1"/>
        <v>3495</v>
      </c>
      <c r="N32" s="69">
        <v>0</v>
      </c>
      <c r="O32" s="69"/>
      <c r="P32" s="69">
        <v>116</v>
      </c>
      <c r="Q32" s="70">
        <f t="shared" si="2"/>
        <v>116</v>
      </c>
      <c r="R32" s="71">
        <f t="shared" si="3"/>
        <v>3379</v>
      </c>
      <c r="S32" s="74"/>
      <c r="U32" s="49">
        <v>3130.19</v>
      </c>
    </row>
    <row r="33" spans="1:21" ht="27.95" customHeight="1">
      <c r="B33" s="1">
        <v>23</v>
      </c>
      <c r="C33" s="3" t="s">
        <v>147</v>
      </c>
      <c r="D33" s="3" t="s">
        <v>148</v>
      </c>
      <c r="E33" s="3" t="s">
        <v>149</v>
      </c>
      <c r="F33" s="3" t="s">
        <v>115</v>
      </c>
      <c r="G33" s="67"/>
      <c r="H33" s="67">
        <v>15</v>
      </c>
      <c r="I33" s="89">
        <f t="shared" si="4"/>
        <v>320.39999999999998</v>
      </c>
      <c r="J33" s="358">
        <f>9242/2</f>
        <v>4621</v>
      </c>
      <c r="K33" s="120">
        <v>4806</v>
      </c>
      <c r="L33" s="86">
        <v>0</v>
      </c>
      <c r="M33" s="69">
        <f t="shared" si="1"/>
        <v>4806</v>
      </c>
      <c r="N33" s="85">
        <v>0</v>
      </c>
      <c r="O33" s="85"/>
      <c r="P33" s="86">
        <v>386</v>
      </c>
      <c r="Q33" s="70">
        <f t="shared" si="2"/>
        <v>386</v>
      </c>
      <c r="R33" s="71">
        <f t="shared" si="3"/>
        <v>4420</v>
      </c>
      <c r="S33" s="74"/>
      <c r="U33" s="49">
        <v>4075.98</v>
      </c>
    </row>
    <row r="34" spans="1:21" ht="27.95" customHeight="1" thickBot="1">
      <c r="B34" s="4"/>
      <c r="C34" s="5"/>
      <c r="D34" s="5"/>
      <c r="E34" s="5"/>
      <c r="F34" s="5"/>
      <c r="G34" s="66"/>
      <c r="H34" s="83"/>
      <c r="I34" s="87">
        <f t="shared" si="4"/>
        <v>0</v>
      </c>
      <c r="J34" s="357">
        <f>14004/2</f>
        <v>7002</v>
      </c>
      <c r="K34" s="86"/>
      <c r="L34" s="86">
        <v>0</v>
      </c>
      <c r="M34" s="69"/>
      <c r="N34" s="86">
        <v>0</v>
      </c>
      <c r="O34" s="86"/>
      <c r="P34" s="86"/>
      <c r="Q34" s="70">
        <f t="shared" si="2"/>
        <v>0</v>
      </c>
      <c r="R34" s="71">
        <f t="shared" si="3"/>
        <v>0</v>
      </c>
      <c r="S34" s="72"/>
      <c r="U34" s="49">
        <v>5941.56</v>
      </c>
    </row>
    <row r="35" spans="1:21" ht="18.75" customHeight="1" thickBot="1">
      <c r="B35" s="684" t="s">
        <v>58</v>
      </c>
      <c r="C35" s="685"/>
      <c r="D35" s="685"/>
      <c r="E35" s="685"/>
      <c r="F35" s="686"/>
      <c r="G35" s="593"/>
      <c r="H35" s="594"/>
      <c r="I35" s="595"/>
      <c r="J35" s="596"/>
      <c r="K35" s="594">
        <f t="shared" ref="K35:R35" si="5">SUM(K11:K34)</f>
        <v>84081</v>
      </c>
      <c r="L35" s="594">
        <f t="shared" si="5"/>
        <v>0</v>
      </c>
      <c r="M35" s="594">
        <f t="shared" si="5"/>
        <v>84081</v>
      </c>
      <c r="N35" s="594">
        <f t="shared" si="5"/>
        <v>421.13</v>
      </c>
      <c r="O35" s="594">
        <f>SUM(O11:O34)</f>
        <v>0</v>
      </c>
      <c r="P35" s="594">
        <f t="shared" si="5"/>
        <v>5159</v>
      </c>
      <c r="Q35" s="594">
        <f t="shared" si="5"/>
        <v>5159</v>
      </c>
      <c r="R35" s="540">
        <f t="shared" si="5"/>
        <v>79343.13</v>
      </c>
      <c r="S35" s="63"/>
      <c r="U35" s="169">
        <f>SUM(U11:U34)</f>
        <v>76914.12999999999</v>
      </c>
    </row>
    <row r="36" spans="1:21" ht="13.5" thickBot="1">
      <c r="B36" s="63"/>
      <c r="C36" s="63"/>
      <c r="D36" s="63"/>
      <c r="E36" s="63"/>
      <c r="F36" s="63"/>
      <c r="G36" s="63"/>
      <c r="H36" s="63"/>
      <c r="I36" s="90"/>
      <c r="J36" s="353"/>
      <c r="K36" s="64"/>
      <c r="L36" s="64"/>
      <c r="M36" s="64"/>
      <c r="N36" s="64"/>
      <c r="O36" s="64"/>
      <c r="P36" s="64"/>
      <c r="Q36" s="64"/>
      <c r="R36" s="91" t="s">
        <v>51</v>
      </c>
      <c r="S36" s="92"/>
    </row>
    <row r="37" spans="1:21" ht="62.25" customHeight="1">
      <c r="B37" s="94"/>
      <c r="C37" s="97"/>
      <c r="D37" s="94"/>
      <c r="E37" s="94"/>
      <c r="F37" s="93"/>
      <c r="G37" s="93"/>
      <c r="H37" s="93"/>
      <c r="I37" s="93"/>
      <c r="J37" s="359"/>
      <c r="K37" s="95"/>
      <c r="L37" s="95"/>
      <c r="M37" s="95"/>
      <c r="N37" s="95"/>
      <c r="O37" s="95"/>
      <c r="P37" s="95"/>
      <c r="Q37" s="95"/>
      <c r="R37" s="95"/>
      <c r="S37" s="63"/>
    </row>
    <row r="38" spans="1:21" ht="51.75" customHeight="1">
      <c r="A38" s="63"/>
      <c r="B38" s="640" t="s">
        <v>695</v>
      </c>
      <c r="C38" s="640"/>
      <c r="D38" s="640"/>
      <c r="E38" s="640"/>
      <c r="F38" s="63"/>
      <c r="G38" s="63"/>
      <c r="H38" s="63"/>
      <c r="I38" s="63"/>
      <c r="J38" s="353"/>
      <c r="K38" s="64"/>
      <c r="L38" s="64"/>
      <c r="M38" s="64"/>
      <c r="N38" s="64"/>
      <c r="O38" s="279"/>
      <c r="P38" s="640" t="s">
        <v>616</v>
      </c>
      <c r="Q38" s="640"/>
      <c r="R38" s="640"/>
      <c r="S38" s="63"/>
    </row>
    <row r="39" spans="1:21" ht="15" customHeight="1">
      <c r="A39" s="63"/>
      <c r="B39" s="622" t="s">
        <v>694</v>
      </c>
      <c r="C39" s="622"/>
      <c r="D39" s="622"/>
      <c r="E39" s="622"/>
      <c r="F39" s="622" t="s">
        <v>151</v>
      </c>
      <c r="G39" s="622"/>
      <c r="H39" s="622"/>
      <c r="I39" s="622"/>
      <c r="J39" s="622"/>
      <c r="K39" s="622"/>
      <c r="L39" s="622"/>
      <c r="M39" s="622"/>
      <c r="N39" s="6"/>
      <c r="O39" s="6"/>
      <c r="P39" s="622" t="s">
        <v>30</v>
      </c>
      <c r="Q39" s="622"/>
      <c r="R39" s="622"/>
      <c r="S39" s="63"/>
    </row>
    <row r="40" spans="1:21">
      <c r="A40" s="63"/>
      <c r="B40" s="63"/>
      <c r="C40" s="63"/>
      <c r="D40" s="63"/>
      <c r="E40" s="63"/>
      <c r="F40" s="63"/>
      <c r="G40" s="63"/>
      <c r="H40" s="63"/>
      <c r="I40" s="63"/>
      <c r="J40" s="353"/>
      <c r="K40" s="64"/>
      <c r="L40" s="64"/>
      <c r="M40" s="64"/>
      <c r="N40" s="64"/>
      <c r="O40" s="64"/>
      <c r="P40" s="64"/>
      <c r="Q40" s="64"/>
      <c r="R40" s="64"/>
      <c r="S40" s="63"/>
    </row>
    <row r="42" spans="1:21">
      <c r="D42" s="48" t="s">
        <v>153</v>
      </c>
      <c r="K42" s="96"/>
      <c r="L42" s="96"/>
      <c r="M42" s="96"/>
      <c r="N42" s="96"/>
      <c r="O42" s="96"/>
      <c r="P42" s="96"/>
      <c r="Q42" s="96"/>
      <c r="R42" s="96"/>
    </row>
    <row r="43" spans="1:21">
      <c r="D43" s="48" t="s">
        <v>154</v>
      </c>
    </row>
    <row r="44" spans="1:21">
      <c r="K44" s="61"/>
      <c r="R44" s="49">
        <f>M35+N35-Q35</f>
        <v>79343.13</v>
      </c>
    </row>
    <row r="45" spans="1:21">
      <c r="M45" s="57"/>
      <c r="R45" s="49">
        <f>R35-R44</f>
        <v>0</v>
      </c>
    </row>
    <row r="52" spans="6:14">
      <c r="F52" s="622"/>
      <c r="G52" s="622"/>
      <c r="H52" s="622"/>
      <c r="I52" s="622"/>
      <c r="J52" s="622"/>
      <c r="K52" s="622"/>
      <c r="L52" s="622"/>
      <c r="M52" s="622"/>
      <c r="N52" s="622"/>
    </row>
  </sheetData>
  <mergeCells count="13">
    <mergeCell ref="B3:S3"/>
    <mergeCell ref="B4:S4"/>
    <mergeCell ref="B39:E39"/>
    <mergeCell ref="P39:R39"/>
    <mergeCell ref="B38:E38"/>
    <mergeCell ref="P38:R38"/>
    <mergeCell ref="S7:S9"/>
    <mergeCell ref="B35:F35"/>
    <mergeCell ref="F52:N52"/>
    <mergeCell ref="K7:O7"/>
    <mergeCell ref="F39:M39"/>
    <mergeCell ref="F7:H7"/>
    <mergeCell ref="P7:Q7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G17"/>
  <sheetViews>
    <sheetView workbookViewId="0">
      <selection activeCell="J16" sqref="J16"/>
    </sheetView>
  </sheetViews>
  <sheetFormatPr baseColWidth="10" defaultRowHeight="15"/>
  <cols>
    <col min="1" max="1" width="37.5703125" customWidth="1"/>
    <col min="2" max="2" width="26.28515625" customWidth="1"/>
    <col min="3" max="3" width="17.28515625" customWidth="1"/>
    <col min="4" max="7" width="0" hidden="1" customWidth="1"/>
  </cols>
  <sheetData>
    <row r="2" spans="1:7">
      <c r="A2" s="688" t="s">
        <v>779</v>
      </c>
      <c r="B2" s="688"/>
    </row>
    <row r="3" spans="1:7" ht="7.5" customHeight="1">
      <c r="A3" s="240"/>
      <c r="B3" s="240"/>
    </row>
    <row r="4" spans="1:7">
      <c r="A4" s="687" t="s">
        <v>570</v>
      </c>
      <c r="B4" s="687"/>
    </row>
    <row r="6" spans="1:7" ht="30">
      <c r="A6" s="166" t="s">
        <v>285</v>
      </c>
      <c r="B6" s="166" t="s">
        <v>286</v>
      </c>
      <c r="C6" s="166" t="s">
        <v>287</v>
      </c>
      <c r="D6" s="465" t="s">
        <v>784</v>
      </c>
      <c r="E6" s="233" t="s">
        <v>780</v>
      </c>
      <c r="F6" s="233" t="s">
        <v>781</v>
      </c>
      <c r="G6" s="464" t="s">
        <v>783</v>
      </c>
    </row>
    <row r="7" spans="1:7">
      <c r="A7" s="166"/>
      <c r="B7" s="166"/>
      <c r="C7" s="167"/>
    </row>
    <row r="8" spans="1:7">
      <c r="A8" s="166" t="s">
        <v>599</v>
      </c>
      <c r="B8" s="166" t="s">
        <v>304</v>
      </c>
      <c r="C8" s="167">
        <v>1312.5</v>
      </c>
      <c r="D8" s="462">
        <f>C8*4%</f>
        <v>52.5</v>
      </c>
      <c r="E8" s="462">
        <f>C8+D8</f>
        <v>1365</v>
      </c>
      <c r="F8" s="166">
        <v>200</v>
      </c>
      <c r="G8" s="463">
        <f>E8+F8</f>
        <v>1565</v>
      </c>
    </row>
    <row r="9" spans="1:7">
      <c r="A9" s="166" t="s">
        <v>656</v>
      </c>
      <c r="B9" s="166" t="s">
        <v>657</v>
      </c>
      <c r="C9" s="167">
        <v>1902.6</v>
      </c>
      <c r="D9" s="462">
        <f t="shared" ref="D9:D10" si="0">C9*4%</f>
        <v>76.103999999999999</v>
      </c>
      <c r="E9" s="462">
        <f t="shared" ref="E9:E10" si="1">C9+D9</f>
        <v>1978.704</v>
      </c>
      <c r="F9" s="166"/>
      <c r="G9" s="463">
        <f t="shared" ref="G9:G10" si="2">E9+F9</f>
        <v>1978.704</v>
      </c>
    </row>
    <row r="10" spans="1:7">
      <c r="A10" s="166" t="s">
        <v>720</v>
      </c>
      <c r="B10" s="166" t="s">
        <v>782</v>
      </c>
      <c r="C10" s="167">
        <v>1800</v>
      </c>
      <c r="D10" s="462">
        <f t="shared" si="0"/>
        <v>72</v>
      </c>
      <c r="E10" s="462">
        <f t="shared" si="1"/>
        <v>1872</v>
      </c>
      <c r="F10" s="166"/>
      <c r="G10" s="463">
        <f t="shared" si="2"/>
        <v>1872</v>
      </c>
    </row>
    <row r="11" spans="1:7">
      <c r="C11" s="170">
        <f>SUM(C7:C10)</f>
        <v>5015.1000000000004</v>
      </c>
      <c r="G11" s="220">
        <f>SUM(G8:G10)</f>
        <v>5415.7039999999997</v>
      </c>
    </row>
    <row r="16" spans="1:7" ht="15.75">
      <c r="A16" s="466"/>
    </row>
    <row r="17" spans="1:1" ht="15.75">
      <c r="A17" s="466"/>
    </row>
  </sheetData>
  <mergeCells count="2">
    <mergeCell ref="A4:B4"/>
    <mergeCell ref="A2:B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S37"/>
  <sheetViews>
    <sheetView topLeftCell="A4" workbookViewId="0">
      <selection activeCell="K10" sqref="K10"/>
    </sheetView>
  </sheetViews>
  <sheetFormatPr baseColWidth="10" defaultColWidth="13.42578125" defaultRowHeight="15"/>
  <cols>
    <col min="1" max="1" width="7" style="152" customWidth="1"/>
    <col min="2" max="2" width="12.28515625" style="152" customWidth="1"/>
    <col min="3" max="3" width="28.140625" style="152" customWidth="1"/>
    <col min="4" max="4" width="16.42578125" style="152" customWidth="1"/>
    <col min="5" max="5" width="0.28515625" style="152" customWidth="1"/>
    <col min="6" max="7" width="13.42578125" style="152"/>
    <col min="8" max="8" width="9.28515625" style="152" bestFit="1" customWidth="1"/>
    <col min="9" max="9" width="13.42578125" style="152"/>
    <col min="10" max="10" width="10.140625" style="152" bestFit="1" customWidth="1"/>
    <col min="11" max="11" width="28.5703125" style="152" customWidth="1"/>
    <col min="12" max="12" width="15.140625" style="152" customWidth="1"/>
    <col min="13" max="14" width="13.42578125" style="451"/>
    <col min="15" max="16384" width="13.42578125" style="152"/>
  </cols>
  <sheetData>
    <row r="1" spans="2:15">
      <c r="B1" s="35"/>
      <c r="C1" s="613"/>
      <c r="D1" s="614"/>
      <c r="E1" s="614"/>
      <c r="F1" s="614"/>
      <c r="G1" s="614"/>
      <c r="H1" s="23"/>
      <c r="I1" s="23"/>
      <c r="J1" s="23"/>
      <c r="K1" s="23"/>
      <c r="L1" s="15"/>
    </row>
    <row r="2" spans="2:15" ht="19.5">
      <c r="B2" s="615" t="s">
        <v>215</v>
      </c>
      <c r="C2" s="616"/>
      <c r="D2" s="616"/>
      <c r="E2" s="616"/>
      <c r="F2" s="616"/>
      <c r="G2" s="616"/>
      <c r="H2" s="616"/>
      <c r="I2" s="616"/>
      <c r="J2" s="616"/>
      <c r="K2" s="617"/>
      <c r="L2" s="448"/>
    </row>
    <row r="3" spans="2:15">
      <c r="B3" s="618" t="s">
        <v>792</v>
      </c>
      <c r="C3" s="619"/>
      <c r="D3" s="619"/>
      <c r="E3" s="619"/>
      <c r="F3" s="619"/>
      <c r="G3" s="619"/>
      <c r="H3" s="619"/>
      <c r="I3" s="619"/>
      <c r="J3" s="619"/>
      <c r="K3" s="620"/>
      <c r="L3" s="438"/>
    </row>
    <row r="4" spans="2:15">
      <c r="B4" s="24"/>
      <c r="C4" s="25" t="s">
        <v>0</v>
      </c>
      <c r="D4" s="15"/>
      <c r="E4" s="15"/>
      <c r="F4" s="15"/>
      <c r="G4" s="15"/>
      <c r="H4" s="15"/>
      <c r="I4" s="15"/>
      <c r="J4" s="15"/>
      <c r="K4" s="26"/>
      <c r="L4" s="15"/>
    </row>
    <row r="5" spans="2:15">
      <c r="B5" s="37"/>
      <c r="C5" s="38"/>
      <c r="D5" s="38"/>
      <c r="E5" s="38"/>
      <c r="F5" s="38"/>
      <c r="G5" s="38"/>
      <c r="H5" s="38"/>
      <c r="I5" s="38"/>
      <c r="J5" s="38"/>
      <c r="K5" s="27"/>
      <c r="L5" s="15"/>
    </row>
    <row r="6" spans="2:15" ht="36.75" customHeight="1">
      <c r="B6" s="526" t="s">
        <v>1</v>
      </c>
      <c r="C6" s="474" t="s">
        <v>2</v>
      </c>
      <c r="D6" s="474" t="s">
        <v>230</v>
      </c>
      <c r="E6" s="474" t="s">
        <v>4</v>
      </c>
      <c r="F6" s="474" t="s">
        <v>5</v>
      </c>
      <c r="G6" s="474" t="s">
        <v>48</v>
      </c>
      <c r="H6" s="474" t="s">
        <v>47</v>
      </c>
      <c r="I6" s="527" t="s">
        <v>6</v>
      </c>
      <c r="J6" s="476" t="s">
        <v>7</v>
      </c>
      <c r="K6" s="528" t="s">
        <v>29</v>
      </c>
      <c r="L6" s="449"/>
    </row>
    <row r="7" spans="2:15">
      <c r="B7" s="43" t="s">
        <v>762</v>
      </c>
      <c r="C7" s="15"/>
      <c r="D7" s="15"/>
      <c r="E7" s="15"/>
      <c r="F7" s="15"/>
      <c r="G7" s="15"/>
      <c r="H7" s="15"/>
      <c r="I7" s="15"/>
      <c r="J7" s="15"/>
      <c r="K7" s="26"/>
      <c r="L7" s="15"/>
      <c r="O7" s="154"/>
    </row>
    <row r="8" spans="2:15" ht="39.950000000000003" customHeight="1">
      <c r="B8" s="155" t="s">
        <v>272</v>
      </c>
      <c r="C8" s="3" t="s">
        <v>602</v>
      </c>
      <c r="D8" s="439" t="s">
        <v>256</v>
      </c>
      <c r="E8" s="9">
        <v>0</v>
      </c>
      <c r="F8" s="9">
        <v>3728</v>
      </c>
      <c r="G8" s="9">
        <v>0</v>
      </c>
      <c r="H8" s="9"/>
      <c r="I8" s="9">
        <f>H8</f>
        <v>0</v>
      </c>
      <c r="J8" s="9">
        <f>F8+G8-H8</f>
        <v>3728</v>
      </c>
      <c r="K8" s="3"/>
      <c r="L8" s="15" t="s">
        <v>766</v>
      </c>
      <c r="M8" s="451">
        <v>685.34</v>
      </c>
      <c r="O8" s="154">
        <v>3585</v>
      </c>
    </row>
    <row r="9" spans="2:15" ht="39.950000000000003" customHeight="1">
      <c r="B9" s="155" t="s">
        <v>273</v>
      </c>
      <c r="C9" s="3" t="s">
        <v>261</v>
      </c>
      <c r="D9" s="9" t="s">
        <v>250</v>
      </c>
      <c r="E9" s="9">
        <v>0</v>
      </c>
      <c r="F9" s="9">
        <v>2470</v>
      </c>
      <c r="G9" s="9">
        <v>0</v>
      </c>
      <c r="H9" s="9"/>
      <c r="I9" s="9">
        <f t="shared" ref="I9:I12" si="0">H9</f>
        <v>0</v>
      </c>
      <c r="J9" s="9">
        <f t="shared" ref="J9" si="1">F9+G9-H9</f>
        <v>2470</v>
      </c>
      <c r="K9" s="3"/>
      <c r="L9" s="15" t="s">
        <v>766</v>
      </c>
      <c r="M9" s="451">
        <v>479.68</v>
      </c>
      <c r="O9" s="154">
        <v>2375</v>
      </c>
    </row>
    <row r="10" spans="2:15" ht="15" customHeight="1">
      <c r="B10" s="440"/>
      <c r="C10" s="690" t="s">
        <v>764</v>
      </c>
      <c r="D10" s="690"/>
      <c r="E10" s="445"/>
      <c r="F10" s="445">
        <f>SUM(F8:F9)</f>
        <v>6198</v>
      </c>
      <c r="G10" s="445">
        <f>SUM(G8:G9)</f>
        <v>0</v>
      </c>
      <c r="H10" s="445"/>
      <c r="I10" s="445">
        <f>SUM(I8:I9)</f>
        <v>0</v>
      </c>
      <c r="J10" s="445">
        <f>SUM(J8:J9)</f>
        <v>6198</v>
      </c>
      <c r="K10" s="598"/>
      <c r="L10" s="15"/>
      <c r="N10" s="453">
        <f>M12/15</f>
        <v>149.4</v>
      </c>
      <c r="O10" s="154"/>
    </row>
    <row r="11" spans="2:15" ht="15" customHeight="1">
      <c r="B11" s="689" t="s">
        <v>763</v>
      </c>
      <c r="C11" s="689"/>
      <c r="D11" s="257"/>
      <c r="E11" s="257"/>
      <c r="F11" s="257"/>
      <c r="G11" s="257"/>
      <c r="H11" s="257"/>
      <c r="I11" s="257"/>
      <c r="J11" s="257"/>
      <c r="K11" s="15"/>
      <c r="L11" s="15"/>
      <c r="M11" s="452"/>
      <c r="N11" s="453">
        <f>N10*3</f>
        <v>448.20000000000005</v>
      </c>
      <c r="O11" s="441"/>
    </row>
    <row r="12" spans="2:15" s="373" customFormat="1" ht="39.950000000000003" customHeight="1">
      <c r="B12" s="369" t="s">
        <v>274</v>
      </c>
      <c r="C12" s="370" t="s">
        <v>448</v>
      </c>
      <c r="D12" s="311" t="s">
        <v>252</v>
      </c>
      <c r="E12" s="311">
        <v>0</v>
      </c>
      <c r="F12" s="311">
        <v>2098</v>
      </c>
      <c r="G12" s="311">
        <v>0</v>
      </c>
      <c r="H12" s="311"/>
      <c r="I12" s="311">
        <f t="shared" si="0"/>
        <v>0</v>
      </c>
      <c r="J12" s="311">
        <f>F12</f>
        <v>2098</v>
      </c>
      <c r="K12" s="370"/>
      <c r="L12" s="123" t="s">
        <v>767</v>
      </c>
      <c r="M12" s="453">
        <v>2241</v>
      </c>
      <c r="N12" s="451">
        <f>N11*100%*90%</f>
        <v>403.38000000000005</v>
      </c>
      <c r="O12" s="374">
        <v>2016.9</v>
      </c>
    </row>
    <row r="13" spans="2:15" ht="39.950000000000003" customHeight="1">
      <c r="B13" s="155" t="s">
        <v>275</v>
      </c>
      <c r="C13" s="3" t="s">
        <v>765</v>
      </c>
      <c r="D13" s="450" t="s">
        <v>769</v>
      </c>
      <c r="E13" s="9"/>
      <c r="F13" s="9">
        <v>2881</v>
      </c>
      <c r="G13" s="9">
        <v>0</v>
      </c>
      <c r="H13" s="9"/>
      <c r="I13" s="9">
        <v>0</v>
      </c>
      <c r="J13" s="9">
        <f>F13</f>
        <v>2881</v>
      </c>
      <c r="K13" s="3"/>
      <c r="L13" s="15" t="s">
        <v>768</v>
      </c>
      <c r="M13" s="451">
        <v>4621</v>
      </c>
      <c r="N13" s="451">
        <f>M13*100%*60%</f>
        <v>2772.6</v>
      </c>
      <c r="O13" s="154">
        <v>2770.6</v>
      </c>
    </row>
    <row r="14" spans="2:15" s="373" customFormat="1" ht="15" customHeight="1">
      <c r="B14" s="442"/>
      <c r="C14" s="691" t="s">
        <v>764</v>
      </c>
      <c r="D14" s="691"/>
      <c r="E14" s="444"/>
      <c r="F14" s="444">
        <f>SUM(F12:F13)</f>
        <v>4979</v>
      </c>
      <c r="G14" s="444">
        <f>SUM(G12)</f>
        <v>0</v>
      </c>
      <c r="H14" s="444"/>
      <c r="I14" s="444">
        <f>SUM(I12)</f>
        <v>0</v>
      </c>
      <c r="J14" s="444">
        <f>SUM(J12:J13)</f>
        <v>4979</v>
      </c>
      <c r="K14" s="597"/>
      <c r="L14" s="123"/>
      <c r="M14" s="453"/>
      <c r="O14" s="374"/>
    </row>
    <row r="15" spans="2:15" s="373" customFormat="1" ht="15" customHeight="1">
      <c r="B15" s="442"/>
      <c r="C15" s="123"/>
      <c r="D15" s="443"/>
      <c r="E15" s="443"/>
      <c r="F15" s="443"/>
      <c r="G15" s="443"/>
      <c r="H15" s="443"/>
      <c r="I15" s="443"/>
      <c r="J15" s="443"/>
      <c r="K15" s="123"/>
      <c r="L15" s="123"/>
      <c r="M15" s="453"/>
      <c r="O15" s="374"/>
    </row>
    <row r="16" spans="2:15" ht="15.75" thickBot="1">
      <c r="B16" s="160"/>
      <c r="C16" s="532" t="s">
        <v>50</v>
      </c>
      <c r="D16" s="533"/>
      <c r="E16" s="533">
        <f>SUM(E8:E12)</f>
        <v>0</v>
      </c>
      <c r="F16" s="533">
        <f>SUM(F10+F14)</f>
        <v>11177</v>
      </c>
      <c r="G16" s="533">
        <f>SUM(G8:G12)</f>
        <v>0</v>
      </c>
      <c r="H16" s="533">
        <f>SUM(H8:H12)</f>
        <v>0</v>
      </c>
      <c r="I16" s="533">
        <f>SUM(I8:I12)</f>
        <v>0</v>
      </c>
      <c r="J16" s="212">
        <f>SUM(J10+J14)</f>
        <v>11177</v>
      </c>
      <c r="K16" s="21"/>
      <c r="L16" s="21"/>
      <c r="N16" s="152"/>
      <c r="O16" s="154"/>
    </row>
    <row r="17" spans="2:19" ht="15.75" thickTop="1">
      <c r="J17" s="161" t="s">
        <v>51</v>
      </c>
      <c r="O17" s="154"/>
    </row>
    <row r="18" spans="2:19">
      <c r="O18" s="154"/>
      <c r="R18" s="157">
        <v>81333.070000000007</v>
      </c>
      <c r="S18" s="152" t="s">
        <v>228</v>
      </c>
    </row>
    <row r="19" spans="2:19">
      <c r="E19" s="165"/>
      <c r="F19" s="165"/>
      <c r="G19" s="165"/>
      <c r="H19" s="165"/>
      <c r="J19" s="165"/>
      <c r="K19" s="165"/>
      <c r="M19" s="452"/>
      <c r="O19" s="154"/>
      <c r="R19" s="157">
        <v>53056.03</v>
      </c>
      <c r="S19" s="152" t="s">
        <v>229</v>
      </c>
    </row>
    <row r="20" spans="2:19">
      <c r="B20" s="621" t="s">
        <v>759</v>
      </c>
      <c r="C20" s="621"/>
      <c r="E20" s="622" t="s">
        <v>45</v>
      </c>
      <c r="F20" s="622"/>
      <c r="G20" s="622"/>
      <c r="H20" s="622"/>
      <c r="J20" s="622" t="s">
        <v>616</v>
      </c>
      <c r="K20" s="622"/>
      <c r="L20" s="279"/>
      <c r="M20" s="454"/>
      <c r="O20" s="99"/>
      <c r="P20" s="99"/>
      <c r="R20" s="158"/>
    </row>
    <row r="21" spans="2:19">
      <c r="B21" s="622" t="s">
        <v>150</v>
      </c>
      <c r="C21" s="622"/>
      <c r="E21" s="622" t="s">
        <v>151</v>
      </c>
      <c r="F21" s="622"/>
      <c r="G21" s="622"/>
      <c r="H21" s="622"/>
      <c r="J21" s="622" t="s">
        <v>30</v>
      </c>
      <c r="K21" s="622"/>
      <c r="L21" s="279"/>
      <c r="M21" s="455"/>
      <c r="O21" s="6"/>
      <c r="P21" s="6"/>
    </row>
    <row r="22" spans="2:19">
      <c r="O22" s="154"/>
    </row>
    <row r="23" spans="2:19">
      <c r="J23" s="260">
        <f>F16+G16-H16</f>
        <v>11177</v>
      </c>
      <c r="O23" s="154"/>
      <c r="R23" s="157">
        <v>96237.05</v>
      </c>
      <c r="S23" s="152" t="s">
        <v>217</v>
      </c>
    </row>
    <row r="24" spans="2:19">
      <c r="J24" s="260">
        <f>J16-J23</f>
        <v>0</v>
      </c>
      <c r="O24" s="154"/>
    </row>
    <row r="25" spans="2:19">
      <c r="O25" s="154"/>
      <c r="R25" s="157">
        <v>103878.79</v>
      </c>
      <c r="S25" s="152" t="s">
        <v>226</v>
      </c>
    </row>
    <row r="26" spans="2:19">
      <c r="O26" s="154"/>
    </row>
    <row r="27" spans="2:19">
      <c r="O27" s="154"/>
      <c r="R27" s="157">
        <v>128320</v>
      </c>
      <c r="S27" s="152" t="s">
        <v>268</v>
      </c>
    </row>
    <row r="28" spans="2:19">
      <c r="O28" s="162"/>
      <c r="R28" s="163">
        <f>SUM(R16:R27)</f>
        <v>462824.94</v>
      </c>
      <c r="S28" s="152" t="s">
        <v>269</v>
      </c>
    </row>
    <row r="29" spans="2:19">
      <c r="O29" s="162"/>
    </row>
    <row r="30" spans="2:19">
      <c r="O30" s="162"/>
    </row>
    <row r="31" spans="2:19">
      <c r="O31" s="162"/>
    </row>
    <row r="32" spans="2:19">
      <c r="O32" s="162"/>
    </row>
    <row r="33" spans="15:15">
      <c r="O33" s="162"/>
    </row>
    <row r="34" spans="15:15">
      <c r="O34" s="162"/>
    </row>
    <row r="35" spans="15:15">
      <c r="O35" s="162"/>
    </row>
    <row r="36" spans="15:15">
      <c r="O36" s="162"/>
    </row>
    <row r="37" spans="15:15">
      <c r="O37" s="162"/>
    </row>
  </sheetData>
  <mergeCells count="12">
    <mergeCell ref="C1:G1"/>
    <mergeCell ref="B2:K2"/>
    <mergeCell ref="B3:K3"/>
    <mergeCell ref="B20:C20"/>
    <mergeCell ref="E20:H20"/>
    <mergeCell ref="J20:K20"/>
    <mergeCell ref="B21:C21"/>
    <mergeCell ref="E21:H21"/>
    <mergeCell ref="J21:K21"/>
    <mergeCell ref="B11:C11"/>
    <mergeCell ref="C10:D10"/>
    <mergeCell ref="C14:D14"/>
  </mergeCells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S36"/>
  <sheetViews>
    <sheetView workbookViewId="0">
      <selection activeCell="D16" sqref="D16"/>
    </sheetView>
  </sheetViews>
  <sheetFormatPr baseColWidth="10" defaultColWidth="13.42578125" defaultRowHeight="15"/>
  <cols>
    <col min="1" max="1" width="7" style="152" customWidth="1"/>
    <col min="2" max="2" width="12.28515625" style="152" customWidth="1"/>
    <col min="3" max="3" width="28.140625" style="152" customWidth="1"/>
    <col min="4" max="5" width="13.42578125" style="152"/>
    <col min="6" max="6" width="0" style="152" hidden="1" customWidth="1"/>
    <col min="7" max="8" width="13.42578125" style="152"/>
    <col min="9" max="9" width="9.28515625" style="152" bestFit="1" customWidth="1"/>
    <col min="10" max="10" width="13.42578125" style="152"/>
    <col min="11" max="11" width="10.140625" style="152" bestFit="1" customWidth="1"/>
    <col min="12" max="12" width="28.5703125" style="152" customWidth="1"/>
    <col min="13" max="16384" width="13.42578125" style="152"/>
  </cols>
  <sheetData>
    <row r="1" spans="2:15">
      <c r="B1" s="35"/>
      <c r="C1" s="613"/>
      <c r="D1" s="614"/>
      <c r="E1" s="614"/>
      <c r="F1" s="614"/>
      <c r="G1" s="614"/>
      <c r="H1" s="614"/>
      <c r="I1" s="23"/>
      <c r="J1" s="23"/>
      <c r="K1" s="23"/>
      <c r="L1" s="23"/>
    </row>
    <row r="2" spans="2:15" ht="19.5">
      <c r="B2" s="615" t="s">
        <v>215</v>
      </c>
      <c r="C2" s="616"/>
      <c r="D2" s="616"/>
      <c r="E2" s="616"/>
      <c r="F2" s="616"/>
      <c r="G2" s="616"/>
      <c r="H2" s="616"/>
      <c r="I2" s="616"/>
      <c r="J2" s="616"/>
      <c r="K2" s="616"/>
      <c r="L2" s="617"/>
    </row>
    <row r="3" spans="2:15">
      <c r="B3" s="618" t="s">
        <v>792</v>
      </c>
      <c r="C3" s="619"/>
      <c r="D3" s="619"/>
      <c r="E3" s="619"/>
      <c r="F3" s="619"/>
      <c r="G3" s="619"/>
      <c r="H3" s="619"/>
      <c r="I3" s="619"/>
      <c r="J3" s="619"/>
      <c r="K3" s="619"/>
      <c r="L3" s="620"/>
    </row>
    <row r="4" spans="2:15">
      <c r="B4" s="24"/>
      <c r="C4" s="25" t="s">
        <v>0</v>
      </c>
      <c r="D4" s="15"/>
      <c r="E4" s="15"/>
      <c r="F4" s="15"/>
      <c r="G4" s="15"/>
      <c r="H4" s="15"/>
      <c r="I4" s="15"/>
      <c r="J4" s="15"/>
      <c r="K4" s="15"/>
      <c r="L4" s="26"/>
    </row>
    <row r="5" spans="2:15">
      <c r="B5" s="37"/>
      <c r="C5" s="38"/>
      <c r="D5" s="38"/>
      <c r="E5" s="38"/>
      <c r="F5" s="38"/>
      <c r="G5" s="38"/>
      <c r="H5" s="38"/>
      <c r="I5" s="38"/>
      <c r="J5" s="38"/>
      <c r="K5" s="38"/>
      <c r="L5" s="27"/>
    </row>
    <row r="6" spans="2:15" ht="33.75">
      <c r="B6" s="526" t="s">
        <v>1</v>
      </c>
      <c r="C6" s="694" t="s">
        <v>2</v>
      </c>
      <c r="D6" s="695"/>
      <c r="E6" s="474" t="s">
        <v>230</v>
      </c>
      <c r="F6" s="474" t="s">
        <v>4</v>
      </c>
      <c r="G6" s="474" t="s">
        <v>5</v>
      </c>
      <c r="H6" s="474" t="s">
        <v>48</v>
      </c>
      <c r="I6" s="474" t="s">
        <v>47</v>
      </c>
      <c r="J6" s="474" t="s">
        <v>6</v>
      </c>
      <c r="K6" s="474" t="s">
        <v>7</v>
      </c>
      <c r="L6" s="475" t="s">
        <v>29</v>
      </c>
    </row>
    <row r="7" spans="2:15">
      <c r="B7" s="43" t="s">
        <v>366</v>
      </c>
      <c r="C7" s="15"/>
      <c r="D7" s="15"/>
      <c r="E7" s="15"/>
      <c r="F7" s="15"/>
      <c r="G7" s="15"/>
      <c r="H7" s="15"/>
      <c r="I7" s="15"/>
      <c r="J7" s="15"/>
      <c r="K7" s="15"/>
      <c r="L7" s="153"/>
      <c r="O7" s="154"/>
    </row>
    <row r="8" spans="2:15" ht="39.950000000000003" customHeight="1">
      <c r="B8" s="155" t="s">
        <v>272</v>
      </c>
      <c r="C8" s="609" t="s">
        <v>358</v>
      </c>
      <c r="D8" s="610"/>
      <c r="E8" s="9" t="s">
        <v>233</v>
      </c>
      <c r="F8" s="9">
        <v>0</v>
      </c>
      <c r="G8" s="9">
        <v>4046</v>
      </c>
      <c r="H8" s="9">
        <v>0</v>
      </c>
      <c r="I8" s="9"/>
      <c r="J8" s="9">
        <f>I8</f>
        <v>0</v>
      </c>
      <c r="K8" s="156">
        <f>G8+H8-I8</f>
        <v>4046</v>
      </c>
      <c r="L8" s="153"/>
      <c r="O8" s="154"/>
    </row>
    <row r="9" spans="2:15" ht="39.950000000000003" customHeight="1">
      <c r="B9" s="155" t="s">
        <v>273</v>
      </c>
      <c r="C9" s="609" t="s">
        <v>359</v>
      </c>
      <c r="D9" s="610"/>
      <c r="E9" s="9" t="s">
        <v>242</v>
      </c>
      <c r="F9" s="9">
        <v>0</v>
      </c>
      <c r="G9" s="9">
        <v>3899</v>
      </c>
      <c r="H9" s="9">
        <v>0</v>
      </c>
      <c r="I9" s="9"/>
      <c r="J9" s="9">
        <f t="shared" ref="J9:J14" si="0">I9</f>
        <v>0</v>
      </c>
      <c r="K9" s="156">
        <f t="shared" ref="K9:K12" si="1">G9+H9-I9</f>
        <v>3899</v>
      </c>
      <c r="L9" s="121"/>
      <c r="O9" s="154"/>
    </row>
    <row r="10" spans="2:15" s="373" customFormat="1" ht="39.950000000000003" customHeight="1">
      <c r="B10" s="369" t="s">
        <v>274</v>
      </c>
      <c r="C10" s="692" t="s">
        <v>360</v>
      </c>
      <c r="D10" s="693"/>
      <c r="E10" s="311" t="s">
        <v>242</v>
      </c>
      <c r="F10" s="311">
        <v>0</v>
      </c>
      <c r="G10" s="311">
        <v>4830</v>
      </c>
      <c r="H10" s="311">
        <v>0</v>
      </c>
      <c r="I10" s="311"/>
      <c r="J10" s="311">
        <f t="shared" si="0"/>
        <v>0</v>
      </c>
      <c r="K10" s="371">
        <f>G10</f>
        <v>4830</v>
      </c>
      <c r="L10" s="372"/>
      <c r="O10" s="374"/>
    </row>
    <row r="11" spans="2:15" ht="39.950000000000003" customHeight="1">
      <c r="B11" s="155" t="s">
        <v>275</v>
      </c>
      <c r="C11" s="609" t="s">
        <v>361</v>
      </c>
      <c r="D11" s="610"/>
      <c r="E11" s="9" t="s">
        <v>250</v>
      </c>
      <c r="F11" s="9">
        <v>0</v>
      </c>
      <c r="G11" s="9">
        <v>2711</v>
      </c>
      <c r="H11" s="9">
        <v>0</v>
      </c>
      <c r="I11" s="9"/>
      <c r="J11" s="9">
        <f t="shared" si="0"/>
        <v>0</v>
      </c>
      <c r="K11" s="156">
        <f t="shared" si="1"/>
        <v>2711</v>
      </c>
      <c r="L11" s="121"/>
      <c r="O11" s="154"/>
    </row>
    <row r="12" spans="2:15" ht="39.950000000000003" customHeight="1">
      <c r="B12" s="155" t="s">
        <v>276</v>
      </c>
      <c r="C12" s="609" t="s">
        <v>362</v>
      </c>
      <c r="D12" s="610"/>
      <c r="E12" s="9" t="s">
        <v>250</v>
      </c>
      <c r="F12" s="9">
        <v>0</v>
      </c>
      <c r="G12" s="9">
        <v>3694</v>
      </c>
      <c r="H12" s="9">
        <v>0</v>
      </c>
      <c r="I12" s="9"/>
      <c r="J12" s="9">
        <f t="shared" si="0"/>
        <v>0</v>
      </c>
      <c r="K12" s="156">
        <f t="shared" si="1"/>
        <v>3694</v>
      </c>
      <c r="L12" s="121"/>
      <c r="O12" s="154"/>
    </row>
    <row r="13" spans="2:15" ht="39.950000000000003" customHeight="1">
      <c r="B13" s="155" t="s">
        <v>277</v>
      </c>
      <c r="C13" s="609" t="s">
        <v>363</v>
      </c>
      <c r="D13" s="610"/>
      <c r="E13" s="9" t="s">
        <v>364</v>
      </c>
      <c r="F13" s="9">
        <v>0</v>
      </c>
      <c r="G13" s="9">
        <v>5686</v>
      </c>
      <c r="H13" s="9">
        <v>0</v>
      </c>
      <c r="I13" s="9"/>
      <c r="J13" s="9">
        <f t="shared" si="0"/>
        <v>0</v>
      </c>
      <c r="K13" s="156">
        <f>G13</f>
        <v>5686</v>
      </c>
      <c r="L13" s="121"/>
      <c r="O13" s="154"/>
    </row>
    <row r="14" spans="2:15" ht="39.950000000000003" customHeight="1">
      <c r="B14" s="155" t="s">
        <v>278</v>
      </c>
      <c r="C14" s="609" t="s">
        <v>365</v>
      </c>
      <c r="D14" s="610"/>
      <c r="E14" s="9" t="s">
        <v>250</v>
      </c>
      <c r="F14" s="9">
        <v>0</v>
      </c>
      <c r="G14" s="9">
        <v>2640</v>
      </c>
      <c r="H14" s="9">
        <v>0</v>
      </c>
      <c r="I14" s="9"/>
      <c r="J14" s="9">
        <f t="shared" si="0"/>
        <v>0</v>
      </c>
      <c r="K14" s="156">
        <f>G14+H14-I14</f>
        <v>2640</v>
      </c>
      <c r="L14" s="3"/>
      <c r="O14" s="154"/>
    </row>
    <row r="15" spans="2:15" ht="15.75" thickBot="1">
      <c r="B15" s="160"/>
      <c r="C15" s="532" t="s">
        <v>50</v>
      </c>
      <c r="D15" s="533">
        <f>SUM(D8:D14)</f>
        <v>0</v>
      </c>
      <c r="E15" s="533"/>
      <c r="F15" s="533">
        <f t="shared" ref="F15:J15" si="2">SUM(F8:F14)</f>
        <v>0</v>
      </c>
      <c r="G15" s="533">
        <f>SUM(G8:G14)</f>
        <v>27506</v>
      </c>
      <c r="H15" s="533">
        <f t="shared" si="2"/>
        <v>0</v>
      </c>
      <c r="I15" s="533">
        <f t="shared" si="2"/>
        <v>0</v>
      </c>
      <c r="J15" s="533">
        <f t="shared" si="2"/>
        <v>0</v>
      </c>
      <c r="K15" s="212">
        <f>SUM(K8:K14)</f>
        <v>27506</v>
      </c>
      <c r="L15" s="571"/>
      <c r="O15" s="154"/>
    </row>
    <row r="16" spans="2:15" ht="15.75" thickTop="1">
      <c r="K16" s="161" t="s">
        <v>51</v>
      </c>
      <c r="O16" s="154"/>
    </row>
    <row r="17" spans="2:19">
      <c r="O17" s="154"/>
      <c r="R17" s="157">
        <v>81333.070000000007</v>
      </c>
      <c r="S17" s="152" t="s">
        <v>228</v>
      </c>
    </row>
    <row r="18" spans="2:19">
      <c r="F18" s="165"/>
      <c r="G18" s="165"/>
      <c r="H18" s="165"/>
      <c r="I18" s="165"/>
      <c r="K18" s="165"/>
      <c r="L18" s="165"/>
      <c r="O18" s="154"/>
      <c r="R18" s="157">
        <v>53056.03</v>
      </c>
      <c r="S18" s="152" t="s">
        <v>229</v>
      </c>
    </row>
    <row r="19" spans="2:19">
      <c r="B19" s="621" t="s">
        <v>759</v>
      </c>
      <c r="C19" s="621"/>
      <c r="D19" s="164"/>
      <c r="F19" s="622" t="s">
        <v>45</v>
      </c>
      <c r="G19" s="622"/>
      <c r="H19" s="622"/>
      <c r="I19" s="622"/>
      <c r="K19" s="622" t="s">
        <v>616</v>
      </c>
      <c r="L19" s="622"/>
      <c r="M19" s="6"/>
      <c r="O19" s="99"/>
      <c r="P19" s="99"/>
      <c r="R19" s="158"/>
    </row>
    <row r="20" spans="2:19">
      <c r="B20" s="622" t="s">
        <v>150</v>
      </c>
      <c r="C20" s="622"/>
      <c r="D20" s="6"/>
      <c r="F20" s="622" t="s">
        <v>151</v>
      </c>
      <c r="G20" s="622"/>
      <c r="H20" s="622"/>
      <c r="I20" s="622"/>
      <c r="K20" s="622" t="s">
        <v>30</v>
      </c>
      <c r="L20" s="622"/>
      <c r="M20" s="6"/>
      <c r="O20" s="6"/>
      <c r="P20" s="6"/>
    </row>
    <row r="21" spans="2:19">
      <c r="O21" s="154"/>
    </row>
    <row r="22" spans="2:19">
      <c r="K22" s="260">
        <f>G15+H15-I15</f>
        <v>27506</v>
      </c>
      <c r="O22" s="154"/>
      <c r="R22" s="157">
        <v>96237.05</v>
      </c>
      <c r="S22" s="152" t="s">
        <v>217</v>
      </c>
    </row>
    <row r="23" spans="2:19">
      <c r="K23" s="260">
        <f>K15-K22</f>
        <v>0</v>
      </c>
      <c r="O23" s="154"/>
    </row>
    <row r="24" spans="2:19">
      <c r="O24" s="154"/>
      <c r="R24" s="157">
        <v>103878.79</v>
      </c>
      <c r="S24" s="152" t="s">
        <v>226</v>
      </c>
    </row>
    <row r="25" spans="2:19">
      <c r="O25" s="154"/>
    </row>
    <row r="26" spans="2:19">
      <c r="O26" s="154"/>
      <c r="R26" s="157">
        <v>128320</v>
      </c>
      <c r="S26" s="152" t="s">
        <v>268</v>
      </c>
    </row>
    <row r="27" spans="2:19">
      <c r="O27" s="162"/>
      <c r="R27" s="163">
        <f>SUM(R15:R26)</f>
        <v>462824.94</v>
      </c>
      <c r="S27" s="152" t="s">
        <v>269</v>
      </c>
    </row>
    <row r="28" spans="2:19">
      <c r="O28" s="162"/>
    </row>
    <row r="29" spans="2:19">
      <c r="O29" s="162"/>
    </row>
    <row r="30" spans="2:19">
      <c r="O30" s="162"/>
    </row>
    <row r="31" spans="2:19">
      <c r="O31" s="162"/>
    </row>
    <row r="32" spans="2:19">
      <c r="O32" s="162"/>
    </row>
    <row r="33" spans="15:15">
      <c r="O33" s="162"/>
    </row>
    <row r="34" spans="15:15">
      <c r="O34" s="162"/>
    </row>
    <row r="35" spans="15:15">
      <c r="O35" s="162"/>
    </row>
    <row r="36" spans="15:15">
      <c r="O36" s="162"/>
    </row>
  </sheetData>
  <mergeCells count="17">
    <mergeCell ref="B20:C20"/>
    <mergeCell ref="F20:I20"/>
    <mergeCell ref="K20:L20"/>
    <mergeCell ref="C1:H1"/>
    <mergeCell ref="B2:L2"/>
    <mergeCell ref="B3:L3"/>
    <mergeCell ref="B19:C19"/>
    <mergeCell ref="F19:I19"/>
    <mergeCell ref="K19:L19"/>
    <mergeCell ref="C8:D8"/>
    <mergeCell ref="C9:D9"/>
    <mergeCell ref="C10:D10"/>
    <mergeCell ref="C11:D11"/>
    <mergeCell ref="C12:D12"/>
    <mergeCell ref="C13:D13"/>
    <mergeCell ref="C14:D14"/>
    <mergeCell ref="C6:D6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5" fitToWidth="3" fitToHeight="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N78"/>
  <sheetViews>
    <sheetView zoomScale="91" zoomScaleNormal="91" workbookViewId="0">
      <selection activeCell="I20" sqref="I20"/>
    </sheetView>
  </sheetViews>
  <sheetFormatPr baseColWidth="10" defaultRowHeight="15"/>
  <cols>
    <col min="1" max="1" width="5.5703125" customWidth="1"/>
    <col min="2" max="2" width="4.28515625" customWidth="1"/>
    <col min="3" max="3" width="39.85546875" customWidth="1"/>
    <col min="4" max="4" width="1.5703125" hidden="1" customWidth="1"/>
    <col min="5" max="5" width="41.140625" customWidth="1"/>
    <col min="6" max="6" width="29.42578125" customWidth="1"/>
    <col min="7" max="7" width="8.42578125" hidden="1" customWidth="1"/>
    <col min="8" max="8" width="0.28515625" style="360" customWidth="1"/>
    <col min="9" max="9" width="16.28515625" style="234" customWidth="1"/>
    <col min="10" max="10" width="20.28515625" style="234" customWidth="1"/>
    <col min="11" max="11" width="13" style="234" bestFit="1" customWidth="1"/>
    <col min="12" max="12" width="40.42578125" customWidth="1"/>
    <col min="13" max="13" width="28.7109375" customWidth="1"/>
    <col min="14" max="14" width="21.5703125" customWidth="1"/>
  </cols>
  <sheetData>
    <row r="1" spans="2:14" ht="9" customHeight="1"/>
    <row r="2" spans="2:14" ht="18.75">
      <c r="C2" s="696" t="s">
        <v>580</v>
      </c>
      <c r="D2" s="696"/>
      <c r="E2" s="696"/>
      <c r="F2" s="696"/>
      <c r="G2" s="696"/>
      <c r="H2" s="696"/>
      <c r="I2" s="696"/>
      <c r="J2" s="696"/>
      <c r="K2" s="696"/>
      <c r="L2" s="696"/>
    </row>
    <row r="3" spans="2:14" ht="18.75">
      <c r="C3" s="696" t="s">
        <v>601</v>
      </c>
      <c r="D3" s="696"/>
      <c r="E3" s="696"/>
      <c r="F3" s="696"/>
      <c r="G3" s="696"/>
      <c r="H3" s="696"/>
      <c r="I3" s="696"/>
      <c r="J3" s="696"/>
      <c r="K3" s="696"/>
      <c r="L3" s="696"/>
    </row>
    <row r="4" spans="2:14" ht="8.25" customHeight="1">
      <c r="C4" s="235"/>
      <c r="D4" s="235"/>
      <c r="E4" s="235"/>
      <c r="F4" s="235"/>
      <c r="G4" s="236"/>
      <c r="H4" s="361"/>
      <c r="I4" s="285"/>
      <c r="J4" s="285"/>
    </row>
    <row r="5" spans="2:14" ht="18.75">
      <c r="C5" s="236"/>
      <c r="D5" s="696" t="s">
        <v>798</v>
      </c>
      <c r="E5" s="696"/>
      <c r="F5" s="696"/>
      <c r="G5" s="696"/>
      <c r="H5" s="696"/>
      <c r="I5" s="696"/>
      <c r="J5" s="696"/>
      <c r="K5" s="237"/>
      <c r="L5" s="238"/>
    </row>
    <row r="7" spans="2:14" ht="28.5" customHeight="1">
      <c r="B7" s="529"/>
      <c r="C7" s="530" t="s">
        <v>285</v>
      </c>
      <c r="D7" s="530" t="s">
        <v>57</v>
      </c>
      <c r="E7" s="530" t="s">
        <v>482</v>
      </c>
      <c r="F7" s="530" t="s">
        <v>483</v>
      </c>
      <c r="G7" s="530"/>
      <c r="H7" s="531"/>
      <c r="I7" s="531" t="s">
        <v>287</v>
      </c>
      <c r="J7" s="531" t="s">
        <v>611</v>
      </c>
      <c r="K7" s="531" t="s">
        <v>552</v>
      </c>
      <c r="L7" s="530" t="s">
        <v>29</v>
      </c>
    </row>
    <row r="9" spans="2:14" ht="30" customHeight="1">
      <c r="B9" s="166">
        <v>1</v>
      </c>
      <c r="C9" s="166" t="s">
        <v>291</v>
      </c>
      <c r="D9" s="166" t="s">
        <v>484</v>
      </c>
      <c r="E9" s="166" t="s">
        <v>485</v>
      </c>
      <c r="F9" s="166" t="s">
        <v>486</v>
      </c>
      <c r="G9" s="166">
        <f>G5</f>
        <v>0</v>
      </c>
      <c r="H9" s="362">
        <f>5174/2</f>
        <v>2587</v>
      </c>
      <c r="I9" s="286">
        <v>2690</v>
      </c>
      <c r="J9" s="284"/>
      <c r="K9" s="239">
        <f>I9-J9</f>
        <v>2690</v>
      </c>
      <c r="L9" s="166"/>
    </row>
    <row r="10" spans="2:14" ht="30" customHeight="1">
      <c r="B10" s="166">
        <f>B9+1</f>
        <v>2</v>
      </c>
      <c r="C10" s="166" t="s">
        <v>292</v>
      </c>
      <c r="D10" s="166"/>
      <c r="E10" s="166" t="s">
        <v>487</v>
      </c>
      <c r="F10" s="166" t="s">
        <v>488</v>
      </c>
      <c r="G10" s="166">
        <f>G9</f>
        <v>0</v>
      </c>
      <c r="H10" s="362">
        <f>4578/2</f>
        <v>2289</v>
      </c>
      <c r="I10" s="286">
        <v>2381</v>
      </c>
      <c r="J10" s="284"/>
      <c r="K10" s="239">
        <f t="shared" ref="K10:K45" si="0">I10-J10</f>
        <v>2381</v>
      </c>
      <c r="L10" s="166"/>
    </row>
    <row r="11" spans="2:14" ht="30" customHeight="1">
      <c r="B11" s="166">
        <f t="shared" ref="B11:B56" si="1">B10+1</f>
        <v>3</v>
      </c>
      <c r="C11" s="166" t="s">
        <v>470</v>
      </c>
      <c r="D11" s="166" t="s">
        <v>553</v>
      </c>
      <c r="E11" s="166" t="s">
        <v>568</v>
      </c>
      <c r="F11" s="166"/>
      <c r="G11" s="166">
        <f>G10</f>
        <v>0</v>
      </c>
      <c r="H11" s="362">
        <f>7042/2</f>
        <v>3521</v>
      </c>
      <c r="I11" s="286">
        <v>3662</v>
      </c>
      <c r="J11" s="284"/>
      <c r="K11" s="239">
        <f t="shared" si="0"/>
        <v>3662</v>
      </c>
      <c r="L11" s="166"/>
    </row>
    <row r="12" spans="2:14" ht="30" customHeight="1">
      <c r="B12" s="166">
        <f t="shared" si="1"/>
        <v>4</v>
      </c>
      <c r="C12" s="166" t="s">
        <v>293</v>
      </c>
      <c r="D12" s="166" t="s">
        <v>489</v>
      </c>
      <c r="E12" s="166" t="s">
        <v>490</v>
      </c>
      <c r="F12" s="166" t="s">
        <v>491</v>
      </c>
      <c r="G12" s="166">
        <f t="shared" ref="G12:G42" si="2">G11</f>
        <v>0</v>
      </c>
      <c r="H12" s="363">
        <f>3790/2</f>
        <v>1895</v>
      </c>
      <c r="I12" s="286">
        <v>1971</v>
      </c>
      <c r="J12" s="286"/>
      <c r="K12" s="239">
        <f t="shared" si="0"/>
        <v>1971</v>
      </c>
      <c r="L12" s="166"/>
    </row>
    <row r="13" spans="2:14" ht="30" customHeight="1">
      <c r="B13" s="166">
        <f t="shared" si="1"/>
        <v>5</v>
      </c>
      <c r="C13" s="166" t="s">
        <v>684</v>
      </c>
      <c r="D13" s="166" t="s">
        <v>492</v>
      </c>
      <c r="E13" s="166" t="s">
        <v>493</v>
      </c>
      <c r="F13" s="166" t="s">
        <v>494</v>
      </c>
      <c r="G13" s="166">
        <f>G59</f>
        <v>0</v>
      </c>
      <c r="H13" s="363">
        <f>5242/2</f>
        <v>2621</v>
      </c>
      <c r="I13" s="286">
        <v>2726</v>
      </c>
      <c r="J13" s="286"/>
      <c r="K13" s="239">
        <f t="shared" si="0"/>
        <v>2726</v>
      </c>
      <c r="L13" s="166"/>
      <c r="M13" t="s">
        <v>685</v>
      </c>
      <c r="N13" t="s">
        <v>707</v>
      </c>
    </row>
    <row r="14" spans="2:14" ht="30" customHeight="1">
      <c r="B14" s="166">
        <f t="shared" si="1"/>
        <v>6</v>
      </c>
      <c r="C14" s="166" t="s">
        <v>495</v>
      </c>
      <c r="D14" s="166"/>
      <c r="E14" s="166" t="s">
        <v>496</v>
      </c>
      <c r="F14" s="166" t="s">
        <v>491</v>
      </c>
      <c r="G14" s="166">
        <f t="shared" si="2"/>
        <v>0</v>
      </c>
      <c r="H14" s="363">
        <f>7720/2</f>
        <v>3860</v>
      </c>
      <c r="I14" s="286">
        <v>4014</v>
      </c>
      <c r="J14" s="425">
        <v>500</v>
      </c>
      <c r="K14" s="239">
        <f>I14-J14</f>
        <v>3514</v>
      </c>
      <c r="L14" s="166"/>
    </row>
    <row r="15" spans="2:14" ht="30" customHeight="1">
      <c r="B15" s="166">
        <f t="shared" si="1"/>
        <v>7</v>
      </c>
      <c r="C15" s="166" t="s">
        <v>294</v>
      </c>
      <c r="D15" s="166" t="s">
        <v>497</v>
      </c>
      <c r="E15" s="166" t="s">
        <v>498</v>
      </c>
      <c r="F15" s="166" t="s">
        <v>491</v>
      </c>
      <c r="G15" s="166">
        <f t="shared" si="2"/>
        <v>0</v>
      </c>
      <c r="H15" s="363">
        <v>3543</v>
      </c>
      <c r="I15" s="286">
        <v>3685</v>
      </c>
      <c r="J15" s="286"/>
      <c r="K15" s="239">
        <f>I15-J15</f>
        <v>3685</v>
      </c>
      <c r="L15" s="166"/>
    </row>
    <row r="16" spans="2:14" ht="30" customHeight="1">
      <c r="B16" s="166">
        <f t="shared" si="1"/>
        <v>8</v>
      </c>
      <c r="C16" s="166" t="s">
        <v>295</v>
      </c>
      <c r="D16" s="166" t="s">
        <v>499</v>
      </c>
      <c r="E16" s="166" t="s">
        <v>500</v>
      </c>
      <c r="F16" s="166" t="s">
        <v>501</v>
      </c>
      <c r="G16" s="166">
        <f t="shared" si="2"/>
        <v>0</v>
      </c>
      <c r="H16" s="362">
        <f>6608/2</f>
        <v>3304</v>
      </c>
      <c r="I16" s="286">
        <v>3436</v>
      </c>
      <c r="J16" s="284"/>
      <c r="K16" s="239">
        <f t="shared" si="0"/>
        <v>3436</v>
      </c>
      <c r="L16" s="166"/>
    </row>
    <row r="17" spans="2:14" ht="30" customHeight="1">
      <c r="B17" s="166">
        <f t="shared" si="1"/>
        <v>9</v>
      </c>
      <c r="C17" s="166" t="s">
        <v>771</v>
      </c>
      <c r="D17" s="166" t="s">
        <v>502</v>
      </c>
      <c r="E17" s="166" t="s">
        <v>503</v>
      </c>
      <c r="F17" s="166" t="s">
        <v>491</v>
      </c>
      <c r="G17" s="166">
        <f t="shared" si="2"/>
        <v>0</v>
      </c>
      <c r="H17" s="362">
        <f>3510/2</f>
        <v>1755</v>
      </c>
      <c r="I17" s="286">
        <v>1664</v>
      </c>
      <c r="J17" s="284"/>
      <c r="K17" s="239">
        <f t="shared" si="0"/>
        <v>1664</v>
      </c>
      <c r="L17" s="166"/>
      <c r="M17" t="s">
        <v>772</v>
      </c>
    </row>
    <row r="18" spans="2:14" ht="30" customHeight="1">
      <c r="B18" s="166">
        <f t="shared" si="1"/>
        <v>10</v>
      </c>
      <c r="C18" s="166" t="s">
        <v>296</v>
      </c>
      <c r="D18" s="166"/>
      <c r="E18" s="166" t="s">
        <v>504</v>
      </c>
      <c r="F18" s="166"/>
      <c r="G18" s="166">
        <f>G61</f>
        <v>0</v>
      </c>
      <c r="H18" s="362">
        <f>6240/2</f>
        <v>3120</v>
      </c>
      <c r="I18" s="286">
        <v>3245</v>
      </c>
      <c r="J18" s="286"/>
      <c r="K18" s="239">
        <f t="shared" si="0"/>
        <v>3245</v>
      </c>
      <c r="L18" s="166"/>
      <c r="M18" s="436"/>
    </row>
    <row r="19" spans="2:14" ht="30" customHeight="1">
      <c r="B19" s="166">
        <f t="shared" si="1"/>
        <v>11</v>
      </c>
      <c r="C19" s="166" t="s">
        <v>297</v>
      </c>
      <c r="D19" s="166" t="s">
        <v>505</v>
      </c>
      <c r="E19" s="166" t="s">
        <v>506</v>
      </c>
      <c r="F19" s="435" t="s">
        <v>697</v>
      </c>
      <c r="G19" s="166">
        <f t="shared" si="2"/>
        <v>0</v>
      </c>
      <c r="H19" s="363">
        <f>6128/2</f>
        <v>3064</v>
      </c>
      <c r="I19" s="286">
        <v>3187</v>
      </c>
      <c r="J19" s="286"/>
      <c r="K19" s="239">
        <f t="shared" si="0"/>
        <v>3187</v>
      </c>
      <c r="L19" s="166"/>
      <c r="M19" s="436"/>
    </row>
    <row r="20" spans="2:14" ht="30" customHeight="1">
      <c r="B20" s="166">
        <f t="shared" si="1"/>
        <v>12</v>
      </c>
      <c r="C20" s="166" t="s">
        <v>298</v>
      </c>
      <c r="D20" s="166"/>
      <c r="E20" s="166" t="s">
        <v>507</v>
      </c>
      <c r="F20" s="166" t="s">
        <v>491</v>
      </c>
      <c r="G20" s="166">
        <f t="shared" si="2"/>
        <v>0</v>
      </c>
      <c r="H20" s="362">
        <f>7330/2</f>
        <v>3665</v>
      </c>
      <c r="I20" s="286">
        <v>3812</v>
      </c>
      <c r="J20" s="286"/>
      <c r="K20" s="239">
        <f t="shared" si="0"/>
        <v>3812</v>
      </c>
      <c r="L20" s="166"/>
    </row>
    <row r="21" spans="2:14" ht="30" customHeight="1">
      <c r="B21" s="166">
        <f t="shared" si="1"/>
        <v>13</v>
      </c>
      <c r="C21" s="166" t="s">
        <v>299</v>
      </c>
      <c r="D21" s="166" t="s">
        <v>508</v>
      </c>
      <c r="E21" s="166" t="s">
        <v>485</v>
      </c>
      <c r="F21" s="166"/>
      <c r="G21" s="166">
        <f t="shared" si="2"/>
        <v>0</v>
      </c>
      <c r="H21" s="362">
        <f>6240/2</f>
        <v>3120</v>
      </c>
      <c r="I21" s="286">
        <v>3245</v>
      </c>
      <c r="J21" s="284"/>
      <c r="K21" s="239">
        <f t="shared" si="0"/>
        <v>3245</v>
      </c>
      <c r="L21" s="166"/>
    </row>
    <row r="22" spans="2:14" ht="30" customHeight="1">
      <c r="B22" s="166">
        <f t="shared" si="1"/>
        <v>14</v>
      </c>
      <c r="C22" s="166" t="s">
        <v>300</v>
      </c>
      <c r="D22" s="166" t="s">
        <v>509</v>
      </c>
      <c r="E22" s="166" t="s">
        <v>510</v>
      </c>
      <c r="F22" s="166"/>
      <c r="G22" s="166" t="e">
        <f>#REF!</f>
        <v>#REF!</v>
      </c>
      <c r="H22" s="363">
        <f>7414/2</f>
        <v>3707</v>
      </c>
      <c r="I22" s="286">
        <v>3855</v>
      </c>
      <c r="J22" s="286"/>
      <c r="K22" s="239">
        <f t="shared" si="0"/>
        <v>3855</v>
      </c>
      <c r="L22" s="166"/>
    </row>
    <row r="23" spans="2:14" ht="30" customHeight="1">
      <c r="B23" s="166">
        <f t="shared" si="1"/>
        <v>15</v>
      </c>
      <c r="C23" s="166" t="s">
        <v>301</v>
      </c>
      <c r="D23" s="166" t="s">
        <v>511</v>
      </c>
      <c r="E23" s="166" t="s">
        <v>512</v>
      </c>
      <c r="F23" s="166" t="s">
        <v>513</v>
      </c>
      <c r="G23" s="166" t="e">
        <f t="shared" si="2"/>
        <v>#REF!</v>
      </c>
      <c r="H23" s="362">
        <f>4210/2</f>
        <v>2105</v>
      </c>
      <c r="I23" s="286">
        <v>2189</v>
      </c>
      <c r="J23" s="284"/>
      <c r="K23" s="239">
        <f t="shared" si="0"/>
        <v>2189</v>
      </c>
      <c r="L23" s="166"/>
    </row>
    <row r="24" spans="2:14" ht="30" customHeight="1">
      <c r="B24" s="166">
        <f t="shared" si="1"/>
        <v>16</v>
      </c>
      <c r="C24" s="166" t="s">
        <v>302</v>
      </c>
      <c r="D24" s="166" t="s">
        <v>514</v>
      </c>
      <c r="E24" s="166" t="s">
        <v>515</v>
      </c>
      <c r="F24" s="166" t="s">
        <v>491</v>
      </c>
      <c r="G24" s="166" t="e">
        <f>#REF!</f>
        <v>#REF!</v>
      </c>
      <c r="H24" s="362">
        <f>4992/2</f>
        <v>2496</v>
      </c>
      <c r="I24" s="286">
        <v>2999</v>
      </c>
      <c r="J24" s="286"/>
      <c r="K24" s="239">
        <f t="shared" si="0"/>
        <v>2999</v>
      </c>
      <c r="L24" s="166"/>
      <c r="M24" s="456"/>
    </row>
    <row r="25" spans="2:14" ht="30" customHeight="1">
      <c r="B25" s="166">
        <f t="shared" si="1"/>
        <v>17</v>
      </c>
      <c r="C25" s="166" t="s">
        <v>644</v>
      </c>
      <c r="D25" s="166" t="s">
        <v>516</v>
      </c>
      <c r="E25" s="166" t="s">
        <v>517</v>
      </c>
      <c r="F25" s="166" t="s">
        <v>491</v>
      </c>
      <c r="G25" s="166" t="e">
        <f t="shared" si="2"/>
        <v>#REF!</v>
      </c>
      <c r="H25" s="362">
        <f>5848/2</f>
        <v>2924</v>
      </c>
      <c r="I25" s="286">
        <v>3811</v>
      </c>
      <c r="J25" s="284"/>
      <c r="K25" s="239">
        <f t="shared" si="0"/>
        <v>3811</v>
      </c>
      <c r="L25" s="166"/>
    </row>
    <row r="26" spans="2:14" ht="30" customHeight="1">
      <c r="B26" s="166">
        <f t="shared" si="1"/>
        <v>18</v>
      </c>
      <c r="C26" s="166" t="s">
        <v>518</v>
      </c>
      <c r="D26" s="166" t="s">
        <v>519</v>
      </c>
      <c r="E26" s="166" t="s">
        <v>520</v>
      </c>
      <c r="F26" s="166" t="s">
        <v>491</v>
      </c>
      <c r="G26" s="166" t="e">
        <f t="shared" si="2"/>
        <v>#REF!</v>
      </c>
      <c r="H26" s="362">
        <f>7060/2</f>
        <v>3530</v>
      </c>
      <c r="I26" s="286">
        <v>3671</v>
      </c>
      <c r="J26" s="284"/>
      <c r="K26" s="239">
        <f t="shared" si="0"/>
        <v>3671</v>
      </c>
      <c r="L26" s="166"/>
    </row>
    <row r="27" spans="2:14" ht="30" customHeight="1">
      <c r="B27" s="166">
        <f t="shared" si="1"/>
        <v>19</v>
      </c>
      <c r="C27" s="166" t="s">
        <v>303</v>
      </c>
      <c r="D27" s="166"/>
      <c r="E27" s="166" t="s">
        <v>521</v>
      </c>
      <c r="F27" s="166" t="s">
        <v>491</v>
      </c>
      <c r="G27" s="166" t="e">
        <f t="shared" si="2"/>
        <v>#REF!</v>
      </c>
      <c r="H27" s="362">
        <f>7414/2</f>
        <v>3707</v>
      </c>
      <c r="I27" s="286">
        <v>3855</v>
      </c>
      <c r="J27" s="284"/>
      <c r="K27" s="239">
        <f t="shared" si="0"/>
        <v>3855</v>
      </c>
      <c r="L27" s="166"/>
    </row>
    <row r="28" spans="2:14" ht="30" customHeight="1">
      <c r="B28" s="166">
        <f t="shared" si="1"/>
        <v>20</v>
      </c>
      <c r="C28" s="166" t="s">
        <v>305</v>
      </c>
      <c r="D28" s="166" t="s">
        <v>522</v>
      </c>
      <c r="E28" s="166" t="s">
        <v>523</v>
      </c>
      <c r="F28" s="166"/>
      <c r="G28" s="166" t="e">
        <f t="shared" si="2"/>
        <v>#REF!</v>
      </c>
      <c r="H28" s="362">
        <f>3510/2</f>
        <v>1755</v>
      </c>
      <c r="I28" s="286">
        <v>1825</v>
      </c>
      <c r="J28" s="284"/>
      <c r="K28" s="239">
        <f t="shared" si="0"/>
        <v>1825</v>
      </c>
      <c r="L28" s="166"/>
    </row>
    <row r="29" spans="2:14" ht="30" customHeight="1">
      <c r="B29" s="166">
        <f t="shared" si="1"/>
        <v>21</v>
      </c>
      <c r="C29" s="166" t="s">
        <v>306</v>
      </c>
      <c r="D29" s="166" t="s">
        <v>524</v>
      </c>
      <c r="E29" s="166" t="s">
        <v>525</v>
      </c>
      <c r="F29" s="166" t="s">
        <v>491</v>
      </c>
      <c r="G29" s="166" t="e">
        <f t="shared" si="2"/>
        <v>#REF!</v>
      </c>
      <c r="H29" s="362">
        <f>6438/2</f>
        <v>3219</v>
      </c>
      <c r="I29" s="286">
        <v>3348</v>
      </c>
      <c r="J29" s="284"/>
      <c r="K29" s="239">
        <f t="shared" si="0"/>
        <v>3348</v>
      </c>
      <c r="L29" s="166"/>
    </row>
    <row r="30" spans="2:14" ht="30" customHeight="1">
      <c r="B30" s="166">
        <f t="shared" si="1"/>
        <v>22</v>
      </c>
      <c r="C30" s="166" t="s">
        <v>639</v>
      </c>
      <c r="D30" s="166"/>
      <c r="E30" s="166" t="s">
        <v>640</v>
      </c>
      <c r="F30" s="166"/>
      <c r="G30" s="166" t="e">
        <f t="shared" si="2"/>
        <v>#REF!</v>
      </c>
      <c r="H30" s="363">
        <f>7488/2</f>
        <v>3744</v>
      </c>
      <c r="I30" s="286">
        <v>3894</v>
      </c>
      <c r="J30" s="286"/>
      <c r="K30" s="239">
        <f t="shared" si="0"/>
        <v>3894</v>
      </c>
      <c r="L30" s="166"/>
      <c r="M30" t="s">
        <v>643</v>
      </c>
      <c r="N30" t="s">
        <v>730</v>
      </c>
    </row>
    <row r="31" spans="2:14" ht="30" customHeight="1">
      <c r="B31" s="166">
        <f t="shared" si="1"/>
        <v>23</v>
      </c>
      <c r="C31" s="166" t="s">
        <v>669</v>
      </c>
      <c r="D31" s="166"/>
      <c r="E31" s="166" t="s">
        <v>670</v>
      </c>
      <c r="F31" s="166"/>
      <c r="G31" s="166" t="e">
        <f t="shared" si="2"/>
        <v>#REF!</v>
      </c>
      <c r="H31" s="363">
        <f>8320/2</f>
        <v>4160</v>
      </c>
      <c r="I31" s="286">
        <v>4326</v>
      </c>
      <c r="J31" s="286"/>
      <c r="K31" s="239">
        <f>I31-J31</f>
        <v>4326</v>
      </c>
      <c r="L31" s="166"/>
      <c r="M31" t="s">
        <v>671</v>
      </c>
      <c r="N31" t="s">
        <v>731</v>
      </c>
    </row>
    <row r="32" spans="2:14" ht="30" customHeight="1">
      <c r="B32" s="166">
        <f t="shared" si="1"/>
        <v>24</v>
      </c>
      <c r="C32" s="166" t="s">
        <v>526</v>
      </c>
      <c r="D32" s="166" t="s">
        <v>527</v>
      </c>
      <c r="E32" s="166" t="s">
        <v>485</v>
      </c>
      <c r="F32" s="166"/>
      <c r="G32" s="166" t="e">
        <f>#REF!</f>
        <v>#REF!</v>
      </c>
      <c r="H32" s="362">
        <f>6240/2</f>
        <v>3120</v>
      </c>
      <c r="I32" s="286">
        <v>3245</v>
      </c>
      <c r="J32" s="284"/>
      <c r="K32" s="239">
        <f t="shared" si="0"/>
        <v>3245</v>
      </c>
      <c r="L32" s="166"/>
    </row>
    <row r="33" spans="2:14" ht="30" customHeight="1">
      <c r="B33" s="166">
        <f t="shared" si="1"/>
        <v>25</v>
      </c>
      <c r="C33" s="166" t="s">
        <v>597</v>
      </c>
      <c r="D33" s="166"/>
      <c r="E33" s="166" t="s">
        <v>598</v>
      </c>
      <c r="F33" s="166"/>
      <c r="G33" s="166"/>
      <c r="H33" s="363">
        <f>7072/2</f>
        <v>3536</v>
      </c>
      <c r="I33" s="286">
        <v>3677</v>
      </c>
      <c r="J33" s="286"/>
      <c r="K33" s="239">
        <f t="shared" si="0"/>
        <v>3677</v>
      </c>
      <c r="L33" s="166"/>
      <c r="M33" s="277" t="s">
        <v>606</v>
      </c>
      <c r="N33" t="s">
        <v>712</v>
      </c>
    </row>
    <row r="34" spans="2:14" ht="30" customHeight="1">
      <c r="B34" s="166">
        <f t="shared" si="1"/>
        <v>26</v>
      </c>
      <c r="C34" s="166" t="s">
        <v>528</v>
      </c>
      <c r="D34" s="166" t="s">
        <v>529</v>
      </c>
      <c r="E34" s="166" t="s">
        <v>530</v>
      </c>
      <c r="F34" s="166" t="s">
        <v>531</v>
      </c>
      <c r="G34" s="166" t="e">
        <f>G32</f>
        <v>#REF!</v>
      </c>
      <c r="H34" s="362">
        <f>3536/2</f>
        <v>1768</v>
      </c>
      <c r="I34" s="286">
        <v>1839</v>
      </c>
      <c r="J34" s="284"/>
      <c r="K34" s="239">
        <f t="shared" si="0"/>
        <v>1839</v>
      </c>
      <c r="L34" s="166"/>
    </row>
    <row r="35" spans="2:14" ht="30" customHeight="1">
      <c r="B35" s="166">
        <f t="shared" si="1"/>
        <v>27</v>
      </c>
      <c r="C35" s="166" t="s">
        <v>307</v>
      </c>
      <c r="D35" s="166"/>
      <c r="E35" s="166" t="s">
        <v>504</v>
      </c>
      <c r="F35" s="166"/>
      <c r="G35" s="166" t="e">
        <f>G62</f>
        <v>#REF!</v>
      </c>
      <c r="H35" s="362">
        <f>6864/2</f>
        <v>3432</v>
      </c>
      <c r="I35" s="286">
        <v>3569</v>
      </c>
      <c r="J35" s="286"/>
      <c r="K35" s="239">
        <f t="shared" si="0"/>
        <v>3569</v>
      </c>
      <c r="L35" s="166"/>
    </row>
    <row r="36" spans="2:14" ht="30" customHeight="1">
      <c r="B36" s="166">
        <f t="shared" si="1"/>
        <v>28</v>
      </c>
      <c r="C36" s="166" t="s">
        <v>309</v>
      </c>
      <c r="D36" s="166"/>
      <c r="E36" s="166" t="s">
        <v>485</v>
      </c>
      <c r="F36" s="166"/>
      <c r="G36" s="166" t="e">
        <f>#REF!</f>
        <v>#REF!</v>
      </c>
      <c r="H36" s="362">
        <f>6240/2</f>
        <v>3120</v>
      </c>
      <c r="I36" s="286">
        <v>3245</v>
      </c>
      <c r="J36" s="286"/>
      <c r="K36" s="239">
        <f t="shared" si="0"/>
        <v>3245</v>
      </c>
      <c r="L36" s="166"/>
    </row>
    <row r="37" spans="2:14" ht="30" customHeight="1">
      <c r="B37" s="166">
        <f t="shared" si="1"/>
        <v>29</v>
      </c>
      <c r="C37" s="166" t="s">
        <v>308</v>
      </c>
      <c r="D37" s="166" t="s">
        <v>532</v>
      </c>
      <c r="E37" s="269" t="s">
        <v>533</v>
      </c>
      <c r="F37" s="166" t="s">
        <v>501</v>
      </c>
      <c r="G37" s="166" t="e">
        <f t="shared" si="2"/>
        <v>#REF!</v>
      </c>
      <c r="H37" s="362">
        <f>5824/2</f>
        <v>2912</v>
      </c>
      <c r="I37" s="286">
        <v>3432</v>
      </c>
      <c r="J37" s="284"/>
      <c r="K37" s="239">
        <f t="shared" si="0"/>
        <v>3432</v>
      </c>
      <c r="L37" s="166"/>
    </row>
    <row r="38" spans="2:14" ht="30" customHeight="1">
      <c r="B38" s="166">
        <f t="shared" si="1"/>
        <v>30</v>
      </c>
      <c r="C38" s="166" t="s">
        <v>534</v>
      </c>
      <c r="D38" s="166" t="s">
        <v>535</v>
      </c>
      <c r="E38" s="166" t="s">
        <v>533</v>
      </c>
      <c r="F38" s="166" t="s">
        <v>513</v>
      </c>
      <c r="G38" s="166" t="e">
        <f t="shared" si="2"/>
        <v>#REF!</v>
      </c>
      <c r="H38" s="362">
        <f>4784/2</f>
        <v>2392</v>
      </c>
      <c r="I38" s="286">
        <v>2488</v>
      </c>
      <c r="J38" s="284"/>
      <c r="K38" s="239">
        <f t="shared" si="0"/>
        <v>2488</v>
      </c>
      <c r="L38" s="166"/>
    </row>
    <row r="39" spans="2:14" ht="30" customHeight="1">
      <c r="B39" s="166">
        <f t="shared" si="1"/>
        <v>31</v>
      </c>
      <c r="C39" s="269" t="s">
        <v>536</v>
      </c>
      <c r="D39" s="269"/>
      <c r="E39" s="269" t="s">
        <v>537</v>
      </c>
      <c r="F39" s="269" t="s">
        <v>488</v>
      </c>
      <c r="G39" s="269" t="e">
        <f t="shared" si="2"/>
        <v>#REF!</v>
      </c>
      <c r="H39" s="428">
        <f>6256/2</f>
        <v>3128</v>
      </c>
      <c r="I39" s="286">
        <v>3253</v>
      </c>
      <c r="J39" s="429"/>
      <c r="K39" s="430">
        <f t="shared" si="0"/>
        <v>3253</v>
      </c>
      <c r="L39" s="269"/>
    </row>
    <row r="40" spans="2:14" ht="30" customHeight="1">
      <c r="B40" s="166">
        <f t="shared" si="1"/>
        <v>32</v>
      </c>
      <c r="C40" s="269" t="s">
        <v>746</v>
      </c>
      <c r="D40" s="269"/>
      <c r="E40" s="269" t="s">
        <v>530</v>
      </c>
      <c r="F40" s="269" t="s">
        <v>538</v>
      </c>
      <c r="G40" s="269" t="e">
        <f t="shared" si="2"/>
        <v>#REF!</v>
      </c>
      <c r="H40" s="428">
        <f>3068/2</f>
        <v>1534</v>
      </c>
      <c r="I40" s="286">
        <v>1596</v>
      </c>
      <c r="J40" s="429"/>
      <c r="K40" s="430">
        <f t="shared" si="0"/>
        <v>1596</v>
      </c>
      <c r="L40" s="269"/>
      <c r="M40" t="s">
        <v>747</v>
      </c>
    </row>
    <row r="41" spans="2:14" ht="30" customHeight="1">
      <c r="B41" s="166">
        <f t="shared" si="1"/>
        <v>33</v>
      </c>
      <c r="C41" s="166" t="s">
        <v>564</v>
      </c>
      <c r="D41" s="166"/>
      <c r="E41" s="166" t="s">
        <v>565</v>
      </c>
      <c r="F41" s="166" t="s">
        <v>491</v>
      </c>
      <c r="G41" s="166"/>
      <c r="H41" s="362">
        <f>6240/2</f>
        <v>3120</v>
      </c>
      <c r="I41" s="286">
        <v>3245</v>
      </c>
      <c r="J41" s="284"/>
      <c r="K41" s="239">
        <f t="shared" si="0"/>
        <v>3245</v>
      </c>
      <c r="L41" s="166"/>
    </row>
    <row r="42" spans="2:14" ht="30" customHeight="1">
      <c r="B42" s="166">
        <f t="shared" si="1"/>
        <v>34</v>
      </c>
      <c r="C42" s="166" t="s">
        <v>471</v>
      </c>
      <c r="D42" s="166"/>
      <c r="E42" s="269" t="s">
        <v>539</v>
      </c>
      <c r="F42" s="166" t="s">
        <v>540</v>
      </c>
      <c r="G42" s="166">
        <f t="shared" si="2"/>
        <v>0</v>
      </c>
      <c r="H42" s="362">
        <f>3858/2</f>
        <v>1929</v>
      </c>
      <c r="I42" s="286">
        <v>2006</v>
      </c>
      <c r="J42" s="284"/>
      <c r="K42" s="239">
        <f t="shared" si="0"/>
        <v>2006</v>
      </c>
      <c r="L42" s="166"/>
    </row>
    <row r="43" spans="2:14" ht="30" customHeight="1">
      <c r="B43" s="166">
        <f t="shared" si="1"/>
        <v>35</v>
      </c>
      <c r="C43" s="166" t="s">
        <v>674</v>
      </c>
      <c r="D43" s="166"/>
      <c r="E43" s="166" t="s">
        <v>609</v>
      </c>
      <c r="F43" s="166" t="s">
        <v>608</v>
      </c>
      <c r="G43" s="166"/>
      <c r="H43" s="363"/>
      <c r="I43" s="286">
        <v>3432</v>
      </c>
      <c r="J43" s="286"/>
      <c r="K43" s="239">
        <f t="shared" si="0"/>
        <v>3432</v>
      </c>
      <c r="L43" s="166"/>
      <c r="M43" t="s">
        <v>675</v>
      </c>
      <c r="N43" t="s">
        <v>707</v>
      </c>
    </row>
    <row r="44" spans="2:14" ht="30" customHeight="1">
      <c r="B44" s="166">
        <f t="shared" si="1"/>
        <v>36</v>
      </c>
      <c r="C44" s="166" t="s">
        <v>652</v>
      </c>
      <c r="D44" s="166"/>
      <c r="E44" s="166" t="s">
        <v>653</v>
      </c>
      <c r="F44" s="166"/>
      <c r="G44" s="166"/>
      <c r="H44" s="363"/>
      <c r="I44" s="286">
        <v>6653</v>
      </c>
      <c r="J44" s="286"/>
      <c r="K44" s="239">
        <f t="shared" si="0"/>
        <v>6653</v>
      </c>
      <c r="L44" s="166"/>
      <c r="M44" t="s">
        <v>654</v>
      </c>
      <c r="N44" t="s">
        <v>708</v>
      </c>
    </row>
    <row r="45" spans="2:14" ht="30" customHeight="1">
      <c r="B45" s="166">
        <f t="shared" si="1"/>
        <v>37</v>
      </c>
      <c r="C45" s="166" t="s">
        <v>623</v>
      </c>
      <c r="D45" s="166"/>
      <c r="E45" s="166" t="s">
        <v>624</v>
      </c>
      <c r="F45" s="166"/>
      <c r="G45" s="166"/>
      <c r="H45" s="362">
        <f>7904/2</f>
        <v>3952</v>
      </c>
      <c r="I45" s="286">
        <v>4110</v>
      </c>
      <c r="J45" s="286"/>
      <c r="K45" s="239">
        <f t="shared" si="0"/>
        <v>4110</v>
      </c>
      <c r="L45" s="166"/>
      <c r="M45" t="s">
        <v>729</v>
      </c>
    </row>
    <row r="46" spans="2:14" ht="30" customHeight="1">
      <c r="B46" s="166">
        <f t="shared" si="1"/>
        <v>38</v>
      </c>
      <c r="C46" s="166" t="s">
        <v>664</v>
      </c>
      <c r="D46" s="166"/>
      <c r="E46" s="166" t="s">
        <v>663</v>
      </c>
      <c r="F46" s="166"/>
      <c r="G46" s="166"/>
      <c r="H46" s="363">
        <f>7488/2</f>
        <v>3744</v>
      </c>
      <c r="I46" s="286">
        <v>3894</v>
      </c>
      <c r="J46" s="286"/>
      <c r="K46" s="239">
        <f t="shared" ref="K46:K56" si="3">I46-J46</f>
        <v>3894</v>
      </c>
      <c r="L46" s="166"/>
      <c r="M46" t="s">
        <v>662</v>
      </c>
      <c r="N46" t="s">
        <v>709</v>
      </c>
    </row>
    <row r="47" spans="2:14" ht="30" customHeight="1">
      <c r="B47" s="166">
        <f t="shared" si="1"/>
        <v>39</v>
      </c>
      <c r="C47" s="166" t="s">
        <v>658</v>
      </c>
      <c r="D47" s="166"/>
      <c r="E47" s="166" t="s">
        <v>257</v>
      </c>
      <c r="F47" s="166" t="s">
        <v>665</v>
      </c>
      <c r="G47" s="166"/>
      <c r="H47" s="363">
        <f>6138/2</f>
        <v>3069</v>
      </c>
      <c r="I47" s="286">
        <v>3192</v>
      </c>
      <c r="J47" s="286"/>
      <c r="K47" s="239">
        <f t="shared" si="3"/>
        <v>3192</v>
      </c>
      <c r="L47" s="166"/>
      <c r="M47" t="s">
        <v>666</v>
      </c>
      <c r="N47" t="s">
        <v>710</v>
      </c>
    </row>
    <row r="48" spans="2:14" ht="30" customHeight="1">
      <c r="B48" s="166">
        <f t="shared" si="1"/>
        <v>40</v>
      </c>
      <c r="C48" s="166" t="s">
        <v>659</v>
      </c>
      <c r="D48" s="166"/>
      <c r="E48" s="166" t="s">
        <v>660</v>
      </c>
      <c r="F48" s="166"/>
      <c r="G48" s="166"/>
      <c r="H48" s="363">
        <f>5880/2</f>
        <v>2940</v>
      </c>
      <c r="I48" s="286">
        <v>4000</v>
      </c>
      <c r="J48" s="286"/>
      <c r="K48" s="239">
        <f t="shared" si="3"/>
        <v>4000</v>
      </c>
      <c r="L48" s="166"/>
      <c r="M48" t="s">
        <v>661</v>
      </c>
      <c r="N48" t="s">
        <v>711</v>
      </c>
    </row>
    <row r="49" spans="2:14" ht="30" customHeight="1">
      <c r="B49" s="166">
        <f t="shared" si="1"/>
        <v>41</v>
      </c>
      <c r="C49" s="166" t="s">
        <v>688</v>
      </c>
      <c r="D49" s="166"/>
      <c r="E49" s="166" t="s">
        <v>653</v>
      </c>
      <c r="F49" s="166"/>
      <c r="G49" s="166"/>
      <c r="H49" s="363"/>
      <c r="I49" s="286">
        <v>6625</v>
      </c>
      <c r="J49" s="286"/>
      <c r="K49" s="239">
        <f t="shared" si="3"/>
        <v>6625</v>
      </c>
      <c r="L49" s="166"/>
      <c r="M49" t="s">
        <v>734</v>
      </c>
    </row>
    <row r="50" spans="2:14" ht="30" customHeight="1">
      <c r="B50" s="166">
        <f t="shared" si="1"/>
        <v>42</v>
      </c>
      <c r="C50" s="166" t="s">
        <v>703</v>
      </c>
      <c r="D50" s="166"/>
      <c r="E50" s="166" t="s">
        <v>250</v>
      </c>
      <c r="F50" s="166"/>
      <c r="G50" s="166"/>
      <c r="H50" s="363"/>
      <c r="I50" s="286">
        <v>3744</v>
      </c>
      <c r="J50" s="286"/>
      <c r="K50" s="239">
        <f t="shared" si="3"/>
        <v>3744</v>
      </c>
      <c r="L50" s="166"/>
      <c r="M50" s="295" t="s">
        <v>733</v>
      </c>
    </row>
    <row r="51" spans="2:14" ht="30" customHeight="1">
      <c r="B51" s="166">
        <f t="shared" si="1"/>
        <v>43</v>
      </c>
      <c r="C51" s="166" t="s">
        <v>716</v>
      </c>
      <c r="D51" s="166"/>
      <c r="E51" s="166" t="s">
        <v>718</v>
      </c>
      <c r="F51" s="166"/>
      <c r="G51" s="166"/>
      <c r="H51" s="363"/>
      <c r="I51" s="286">
        <v>7800</v>
      </c>
      <c r="J51" s="286"/>
      <c r="K51" s="239">
        <f t="shared" si="3"/>
        <v>7800</v>
      </c>
      <c r="L51" s="166"/>
      <c r="M51" t="s">
        <v>721</v>
      </c>
    </row>
    <row r="52" spans="2:14" ht="30" customHeight="1">
      <c r="B52" s="166">
        <f t="shared" si="1"/>
        <v>44</v>
      </c>
      <c r="C52" s="166" t="s">
        <v>717</v>
      </c>
      <c r="D52" s="166"/>
      <c r="E52" s="166" t="s">
        <v>719</v>
      </c>
      <c r="F52" s="166"/>
      <c r="G52" s="166"/>
      <c r="H52" s="363"/>
      <c r="I52" s="286">
        <v>7800</v>
      </c>
      <c r="J52" s="286"/>
      <c r="K52" s="239">
        <f t="shared" si="3"/>
        <v>7800</v>
      </c>
      <c r="L52" s="166"/>
      <c r="M52" t="s">
        <v>689</v>
      </c>
    </row>
    <row r="53" spans="2:14" ht="30" customHeight="1">
      <c r="B53" s="166">
        <f t="shared" si="1"/>
        <v>45</v>
      </c>
      <c r="C53" s="166" t="s">
        <v>726</v>
      </c>
      <c r="D53" s="166"/>
      <c r="E53" s="166" t="s">
        <v>727</v>
      </c>
      <c r="F53" s="166"/>
      <c r="G53" s="166"/>
      <c r="H53" s="363"/>
      <c r="I53" s="286">
        <v>3536</v>
      </c>
      <c r="J53" s="286"/>
      <c r="K53" s="239">
        <f t="shared" si="3"/>
        <v>3536</v>
      </c>
      <c r="L53" s="166"/>
      <c r="M53" t="s">
        <v>732</v>
      </c>
    </row>
    <row r="54" spans="2:14" ht="30" customHeight="1">
      <c r="B54" s="166">
        <f t="shared" si="1"/>
        <v>46</v>
      </c>
      <c r="C54" s="166" t="s">
        <v>742</v>
      </c>
      <c r="D54" s="166"/>
      <c r="E54" s="166" t="s">
        <v>738</v>
      </c>
      <c r="F54" s="166"/>
      <c r="G54" s="166"/>
      <c r="H54" s="363"/>
      <c r="I54" s="286">
        <v>2080</v>
      </c>
      <c r="J54" s="286"/>
      <c r="K54" s="239">
        <f t="shared" si="3"/>
        <v>2080</v>
      </c>
      <c r="L54" s="166"/>
      <c r="M54" t="s">
        <v>739</v>
      </c>
      <c r="N54" t="s">
        <v>740</v>
      </c>
    </row>
    <row r="55" spans="2:14" ht="30" customHeight="1">
      <c r="B55" s="166">
        <f t="shared" si="1"/>
        <v>47</v>
      </c>
      <c r="C55" s="166" t="s">
        <v>745</v>
      </c>
      <c r="D55" s="166"/>
      <c r="E55" s="166" t="s">
        <v>749</v>
      </c>
      <c r="F55" s="166"/>
      <c r="G55" s="166"/>
      <c r="H55" s="363"/>
      <c r="I55" s="286">
        <v>2080</v>
      </c>
      <c r="J55" s="286"/>
      <c r="K55" s="239">
        <f t="shared" si="3"/>
        <v>2080</v>
      </c>
      <c r="L55" s="166"/>
      <c r="M55" t="s">
        <v>748</v>
      </c>
    </row>
    <row r="56" spans="2:14" ht="30" customHeight="1">
      <c r="B56" s="166">
        <f t="shared" si="1"/>
        <v>48</v>
      </c>
      <c r="C56" s="166" t="s">
        <v>774</v>
      </c>
      <c r="D56" s="166"/>
      <c r="E56" s="166" t="s">
        <v>773</v>
      </c>
      <c r="F56" s="166"/>
      <c r="G56" s="166"/>
      <c r="H56" s="363"/>
      <c r="I56" s="286">
        <v>3120</v>
      </c>
      <c r="J56" s="286"/>
      <c r="K56" s="239">
        <f t="shared" si="3"/>
        <v>3120</v>
      </c>
      <c r="L56" s="166"/>
    </row>
    <row r="57" spans="2:14" ht="30" customHeight="1">
      <c r="F57" s="240" t="s">
        <v>58</v>
      </c>
      <c r="G57" s="244" t="s">
        <v>58</v>
      </c>
      <c r="H57" s="364"/>
      <c r="I57" s="534">
        <f>SUM(I9:I56)</f>
        <v>167152</v>
      </c>
      <c r="J57" s="534">
        <f>SUM(J9:J56)</f>
        <v>500</v>
      </c>
      <c r="K57" s="535">
        <f>SUM(K9:K56)</f>
        <v>166652</v>
      </c>
    </row>
    <row r="58" spans="2:14" ht="17.25" customHeight="1">
      <c r="H58" s="365"/>
      <c r="I58" s="287"/>
      <c r="J58" s="287"/>
      <c r="K58" s="241"/>
    </row>
    <row r="59" spans="2:14" ht="30" customHeight="1">
      <c r="B59" s="166">
        <f>B56+1</f>
        <v>49</v>
      </c>
      <c r="C59" s="166" t="s">
        <v>541</v>
      </c>
      <c r="D59" s="166"/>
      <c r="E59" s="166" t="s">
        <v>542</v>
      </c>
      <c r="F59" s="166" t="s">
        <v>543</v>
      </c>
      <c r="G59" s="166">
        <f>G12</f>
        <v>0</v>
      </c>
      <c r="H59" s="362">
        <f>2206/2</f>
        <v>1103</v>
      </c>
      <c r="I59" s="286">
        <v>1147</v>
      </c>
      <c r="J59" s="284"/>
      <c r="K59" s="239">
        <f>I59-J59</f>
        <v>1147</v>
      </c>
      <c r="L59" s="166"/>
    </row>
    <row r="60" spans="2:14" ht="30" customHeight="1">
      <c r="B60" s="166">
        <f>B59+1</f>
        <v>50</v>
      </c>
      <c r="C60" s="166" t="s">
        <v>613</v>
      </c>
      <c r="D60" s="166" t="s">
        <v>544</v>
      </c>
      <c r="E60" s="166" t="s">
        <v>545</v>
      </c>
      <c r="F60" s="166" t="s">
        <v>491</v>
      </c>
      <c r="G60" s="166">
        <f>G17</f>
        <v>0</v>
      </c>
      <c r="H60" s="362">
        <f>2310/2</f>
        <v>1155</v>
      </c>
      <c r="I60" s="286">
        <v>1201</v>
      </c>
      <c r="J60" s="284"/>
      <c r="K60" s="239">
        <f t="shared" ref="K60:K63" si="4">I60-J60</f>
        <v>1201</v>
      </c>
      <c r="L60" s="166"/>
    </row>
    <row r="61" spans="2:14" ht="30" customHeight="1">
      <c r="B61" s="166">
        <f t="shared" ref="B61:B63" si="5">B60+1</f>
        <v>51</v>
      </c>
      <c r="C61" s="166" t="s">
        <v>668</v>
      </c>
      <c r="D61" s="166" t="s">
        <v>546</v>
      </c>
      <c r="E61" s="166" t="s">
        <v>545</v>
      </c>
      <c r="F61" s="166" t="s">
        <v>491</v>
      </c>
      <c r="G61" s="166">
        <f>G60</f>
        <v>0</v>
      </c>
      <c r="H61" s="362">
        <f>2310/2</f>
        <v>1155</v>
      </c>
      <c r="I61" s="286">
        <v>1201</v>
      </c>
      <c r="J61" s="284"/>
      <c r="K61" s="239">
        <f t="shared" si="4"/>
        <v>1201</v>
      </c>
      <c r="L61" s="166"/>
      <c r="M61" t="s">
        <v>667</v>
      </c>
      <c r="N61" t="s">
        <v>713</v>
      </c>
    </row>
    <row r="62" spans="2:14" ht="30" customHeight="1">
      <c r="B62" s="166">
        <f t="shared" si="5"/>
        <v>52</v>
      </c>
      <c r="C62" s="166" t="s">
        <v>547</v>
      </c>
      <c r="D62" s="166" t="s">
        <v>548</v>
      </c>
      <c r="E62" s="166" t="s">
        <v>549</v>
      </c>
      <c r="F62" s="166"/>
      <c r="G62" s="166" t="e">
        <f>#REF!</f>
        <v>#REF!</v>
      </c>
      <c r="H62" s="362">
        <f>2100/2</f>
        <v>1050</v>
      </c>
      <c r="I62" s="286">
        <v>1092</v>
      </c>
      <c r="J62" s="284"/>
      <c r="K62" s="239">
        <f t="shared" si="4"/>
        <v>1092</v>
      </c>
      <c r="L62" s="166"/>
    </row>
    <row r="63" spans="2:14" ht="30" customHeight="1">
      <c r="B63" s="166">
        <f t="shared" si="5"/>
        <v>53</v>
      </c>
      <c r="C63" s="166" t="s">
        <v>472</v>
      </c>
      <c r="D63" s="166" t="s">
        <v>550</v>
      </c>
      <c r="E63" s="166" t="s">
        <v>551</v>
      </c>
      <c r="F63" s="166" t="s">
        <v>538</v>
      </c>
      <c r="G63" s="166" t="e">
        <f>#REF!</f>
        <v>#REF!</v>
      </c>
      <c r="H63" s="362">
        <f>2142/2</f>
        <v>1071</v>
      </c>
      <c r="I63" s="286">
        <v>1114</v>
      </c>
      <c r="J63" s="284"/>
      <c r="K63" s="239">
        <f t="shared" si="4"/>
        <v>1114</v>
      </c>
      <c r="L63" s="166"/>
    </row>
    <row r="64" spans="2:14" ht="30" customHeight="1">
      <c r="F64" s="599" t="s">
        <v>552</v>
      </c>
      <c r="G64" s="600" t="s">
        <v>58</v>
      </c>
      <c r="H64" s="601"/>
      <c r="I64" s="602">
        <f>SUM(I59:I63)</f>
        <v>5755</v>
      </c>
      <c r="J64" s="602">
        <f>SUM(J59:J63)</f>
        <v>0</v>
      </c>
      <c r="K64" s="603">
        <f>SUM(K59:K63)</f>
        <v>5755</v>
      </c>
    </row>
    <row r="65" spans="2:12" ht="13.5" customHeight="1" thickBot="1">
      <c r="B65" s="229"/>
      <c r="C65" s="229"/>
      <c r="D65" s="229"/>
      <c r="E65" s="229"/>
      <c r="F65" s="242"/>
      <c r="G65" s="242"/>
      <c r="H65" s="366"/>
      <c r="I65" s="288"/>
      <c r="J65" s="288"/>
      <c r="K65" s="243"/>
      <c r="L65" s="229"/>
    </row>
    <row r="66" spans="2:12" ht="25.5" customHeight="1" thickTop="1">
      <c r="F66" s="604" t="s">
        <v>58</v>
      </c>
      <c r="G66" s="605" t="s">
        <v>58</v>
      </c>
      <c r="H66" s="606"/>
      <c r="I66" s="607">
        <f>I57+I64</f>
        <v>172907</v>
      </c>
      <c r="J66" s="608">
        <f>SUM(J57+J64)</f>
        <v>500</v>
      </c>
      <c r="K66" s="541">
        <f>SUM(K57+K64)</f>
        <v>172407</v>
      </c>
    </row>
    <row r="67" spans="2:12">
      <c r="H67" s="365"/>
      <c r="I67" s="287"/>
      <c r="J67" s="287"/>
      <c r="K67" s="241"/>
    </row>
    <row r="68" spans="2:12">
      <c r="H68" s="365"/>
      <c r="I68" s="287"/>
      <c r="J68" s="287"/>
      <c r="K68" s="241"/>
    </row>
    <row r="69" spans="2:12">
      <c r="H69" s="365"/>
      <c r="I69" s="287"/>
      <c r="J69" s="287"/>
      <c r="K69" s="241"/>
    </row>
    <row r="70" spans="2:12">
      <c r="H70" s="365"/>
      <c r="I70" s="287"/>
      <c r="J70" s="287"/>
      <c r="K70" s="241"/>
    </row>
    <row r="71" spans="2:12">
      <c r="C71" s="208"/>
      <c r="H71" s="365"/>
      <c r="I71" s="287"/>
      <c r="J71" s="287"/>
      <c r="K71" s="241"/>
    </row>
    <row r="72" spans="2:12">
      <c r="H72" s="365"/>
      <c r="I72" s="287"/>
      <c r="J72" s="287"/>
      <c r="K72" s="241"/>
    </row>
    <row r="73" spans="2:12">
      <c r="H73" s="365"/>
      <c r="I73" s="287"/>
      <c r="J73" s="287"/>
      <c r="K73" s="241"/>
    </row>
    <row r="77" spans="2:12">
      <c r="K77" s="234">
        <f>I66-J66</f>
        <v>172407</v>
      </c>
    </row>
    <row r="78" spans="2:12">
      <c r="K78" s="234">
        <f>K66-K77</f>
        <v>0</v>
      </c>
    </row>
  </sheetData>
  <mergeCells count="3">
    <mergeCell ref="C2:L2"/>
    <mergeCell ref="C3:L3"/>
    <mergeCell ref="D5:J5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11</vt:i4>
      </vt:variant>
    </vt:vector>
  </HeadingPairs>
  <TitlesOfParts>
    <vt:vector size="23" baseType="lpstr">
      <vt:lpstr>REGIDORES</vt:lpstr>
      <vt:lpstr>BASE</vt:lpstr>
      <vt:lpstr>SEGU-PBCA</vt:lpstr>
      <vt:lpstr>P-CIVIL</vt:lpstr>
      <vt:lpstr>NOMINA TRAB.EVENTUALES</vt:lpstr>
      <vt:lpstr>PAGO SEMANAL</vt:lpstr>
      <vt:lpstr>PENSION POR JUBILACION</vt:lpstr>
      <vt:lpstr>NOMINA PENSIONADOS</vt:lpstr>
      <vt:lpstr>NOMINA ORD. DE PAGO QUINCENAL</vt:lpstr>
      <vt:lpstr>PAGO TRAB.MENSUALES</vt:lpstr>
      <vt:lpstr>CASA DE CULTURA </vt:lpstr>
      <vt:lpstr>TOTAL DE PAGOS 2DAQUIN.OCTUBRE</vt:lpstr>
      <vt:lpstr>BASE!Área_de_impresión</vt:lpstr>
      <vt:lpstr>'CASA DE CULTURA '!Área_de_impresión</vt:lpstr>
      <vt:lpstr>'NOMINA ORD. DE PAGO QUINCENAL'!Área_de_impresión</vt:lpstr>
      <vt:lpstr>'NOMINA PENSIONADOS'!Área_de_impresión</vt:lpstr>
      <vt:lpstr>'NOMINA TRAB.EVENTUALES'!Área_de_impresión</vt:lpstr>
      <vt:lpstr>'PAGO TRAB.MENSUALES'!Área_de_impresión</vt:lpstr>
      <vt:lpstr>'P-CIVIL'!Área_de_impresión</vt:lpstr>
      <vt:lpstr>'PENSION POR JUBILACION'!Área_de_impresión</vt:lpstr>
      <vt:lpstr>REGIDORES!Área_de_impresión</vt:lpstr>
      <vt:lpstr>'SEGU-PBCA'!Área_de_impresión</vt:lpstr>
      <vt:lpstr>'TOTAL DE PAGOS 2DAQUIN.OCTUBRE'!Área_de_impresión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Ilse</dc:creator>
  <cp:lastModifiedBy>HP</cp:lastModifiedBy>
  <cp:lastPrinted>2022-03-22T22:31:25Z</cp:lastPrinted>
  <dcterms:created xsi:type="dcterms:W3CDTF">2018-09-24T18:29:12Z</dcterms:created>
  <dcterms:modified xsi:type="dcterms:W3CDTF">2023-08-09T20:12:47Z</dcterms:modified>
</cp:coreProperties>
</file>