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1\Nominas del mes de Junio 2021\"/>
    </mc:Choice>
  </mc:AlternateContent>
  <xr:revisionPtr revIDLastSave="0" documentId="13_ncr:1_{143A0638-47BD-4EB5-BF13-BB57D3F3CFA1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PENSION POR JUBILACION" sheetId="16" r:id="rId7"/>
    <sheet name="NOMINA PENSIONADOS" sheetId="11" r:id="rId8"/>
    <sheet name="NOMINA ORD. DE PAGO QUINCENAL" sheetId="14" r:id="rId9"/>
    <sheet name="PAGO TRAB.MENSUALES" sheetId="8" state="hidden" r:id="rId10"/>
    <sheet name="CASA DE CULTURA " sheetId="15" state="hidden" r:id="rId11"/>
    <sheet name="TOTAL DE PAGOS 2DAQUIN.OCTUBRE" sheetId="13" state="hidden" r:id="rId12"/>
  </sheets>
  <definedNames>
    <definedName name="_xlnm.Print_Area" localSheetId="1">BASE!$B$2:$O$190</definedName>
    <definedName name="_xlnm.Print_Area" localSheetId="10">'CASA DE CULTURA '!$B$1:$O$16</definedName>
    <definedName name="_xlnm.Print_Area" localSheetId="8">'NOMINA ORD. DE PAGO QUINCENAL'!$A$2:$M$79</definedName>
    <definedName name="_xlnm.Print_Area" localSheetId="7">'NOMINA PENSIONADOS'!$B$2:$M$19</definedName>
    <definedName name="_xlnm.Print_Area" localSheetId="4">'NOMINA TRAB.EVENTUALES'!$A$2:$T$40</definedName>
    <definedName name="_xlnm.Print_Area" localSheetId="9">'PAGO TRAB.MENSUALES'!$B$1:$K$42</definedName>
    <definedName name="_xlnm.Print_Area" localSheetId="3">'P-CIVIL'!$A$1:$R$32</definedName>
    <definedName name="_xlnm.Print_Area" localSheetId="6">'PENSION POR JUBILACION'!$B$2:$L$21</definedName>
    <definedName name="_xlnm.Print_Area" localSheetId="0">REGIDORES!$B$2:$N$24</definedName>
    <definedName name="_xlnm.Print_Area" localSheetId="2">'SEGU-PBCA'!$B$1:$R$47</definedName>
    <definedName name="_xlnm.Print_Area" localSheetId="11">'TOTAL DE PAGOS 2DAQUIN.OCTUBRE'!$A$2:$B$21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5" l="1"/>
  <c r="M9" i="5"/>
  <c r="M10" i="5"/>
  <c r="M11" i="5"/>
  <c r="M12" i="5"/>
  <c r="M13" i="5"/>
  <c r="M14" i="5"/>
  <c r="M15" i="5"/>
  <c r="M16" i="5"/>
  <c r="M17" i="5"/>
  <c r="M8" i="5"/>
  <c r="N181" i="2"/>
  <c r="N176" i="2"/>
  <c r="N170" i="2"/>
  <c r="N164" i="2"/>
  <c r="N163" i="2"/>
  <c r="N154" i="2"/>
  <c r="N149" i="2"/>
  <c r="N148" i="2"/>
  <c r="N136" i="2"/>
  <c r="N135" i="2"/>
  <c r="N134" i="2"/>
  <c r="N133" i="2"/>
  <c r="N132" i="2"/>
  <c r="N131" i="2"/>
  <c r="N130" i="2"/>
  <c r="N118" i="2"/>
  <c r="N117" i="2"/>
  <c r="N112" i="2"/>
  <c r="N111" i="2"/>
  <c r="N110" i="2"/>
  <c r="N109" i="2"/>
  <c r="N108" i="2"/>
  <c r="N99" i="2"/>
  <c r="N94" i="2"/>
  <c r="N89" i="2"/>
  <c r="N88" i="2"/>
  <c r="N87" i="2"/>
  <c r="N86" i="2"/>
  <c r="N85" i="2"/>
  <c r="N84" i="2"/>
  <c r="N83" i="2"/>
  <c r="N72" i="2"/>
  <c r="N67" i="2"/>
  <c r="N66" i="2"/>
  <c r="N61" i="2"/>
  <c r="N60" i="2"/>
  <c r="N51" i="2"/>
  <c r="N50" i="2"/>
  <c r="N45" i="2"/>
  <c r="N44" i="2"/>
  <c r="N43" i="2"/>
  <c r="N42" i="2"/>
  <c r="N37" i="2"/>
  <c r="N36" i="2"/>
  <c r="N32" i="2"/>
  <c r="N31" i="2"/>
  <c r="N17" i="2"/>
  <c r="N13" i="2"/>
  <c r="N12" i="2"/>
  <c r="N8" i="2"/>
  <c r="N7" i="2"/>
  <c r="Q38" i="6"/>
  <c r="Q37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11" i="6"/>
  <c r="S35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11" i="3"/>
  <c r="K13" i="16"/>
  <c r="K12" i="16"/>
  <c r="K9" i="16"/>
  <c r="K8" i="16"/>
  <c r="L14" i="11"/>
  <c r="L9" i="11"/>
  <c r="L10" i="11"/>
  <c r="L11" i="11"/>
  <c r="L12" i="11"/>
  <c r="L13" i="11"/>
  <c r="L8" i="11"/>
  <c r="I62" i="14"/>
  <c r="K68" i="2"/>
  <c r="J68" i="2"/>
  <c r="I68" i="2"/>
  <c r="F68" i="2"/>
  <c r="K61" i="14" l="1"/>
  <c r="L61" i="14" s="1"/>
  <c r="O13" i="6" l="1"/>
  <c r="K13" i="6"/>
  <c r="G13" i="6"/>
  <c r="O21" i="6"/>
  <c r="P21" i="6" s="1"/>
  <c r="G21" i="6"/>
  <c r="K15" i="6"/>
  <c r="P13" i="6" l="1"/>
  <c r="G9" i="14" l="1"/>
  <c r="H9" i="14"/>
  <c r="K9" i="14"/>
  <c r="L9" i="14" s="1"/>
  <c r="B10" i="14"/>
  <c r="B11" i="14" s="1"/>
  <c r="G10" i="14"/>
  <c r="H10" i="14"/>
  <c r="K10" i="14"/>
  <c r="L10" i="14" s="1"/>
  <c r="G11" i="14"/>
  <c r="H11" i="14"/>
  <c r="K11" i="14"/>
  <c r="L11" i="14" s="1"/>
  <c r="H13" i="14"/>
  <c r="K13" i="14"/>
  <c r="L13" i="14" s="1"/>
  <c r="K14" i="14"/>
  <c r="L14" i="14" s="1"/>
  <c r="H15" i="14"/>
  <c r="K15" i="14"/>
  <c r="L15" i="14" s="1"/>
  <c r="H17" i="14"/>
  <c r="K17" i="14"/>
  <c r="L17" i="14" s="1"/>
  <c r="H18" i="14"/>
  <c r="K18" i="14"/>
  <c r="L18" i="14" s="1"/>
  <c r="H19" i="14"/>
  <c r="K19" i="14"/>
  <c r="L19" i="14" s="1"/>
  <c r="H20" i="14"/>
  <c r="K20" i="14"/>
  <c r="L20" i="14" s="1"/>
  <c r="G21" i="14"/>
  <c r="H21" i="14"/>
  <c r="K21" i="14"/>
  <c r="L21" i="14" s="1"/>
  <c r="G22" i="14"/>
  <c r="G23" i="14" s="1"/>
  <c r="G24" i="14" s="1"/>
  <c r="G25" i="14" s="1"/>
  <c r="G26" i="14" s="1"/>
  <c r="G27" i="14" s="1"/>
  <c r="H22" i="14"/>
  <c r="K22" i="14"/>
  <c r="L22" i="14" s="1"/>
  <c r="H23" i="14"/>
  <c r="K23" i="14"/>
  <c r="L23" i="14" s="1"/>
  <c r="H24" i="14"/>
  <c r="K24" i="14"/>
  <c r="L24" i="14" s="1"/>
  <c r="H25" i="14"/>
  <c r="K25" i="14"/>
  <c r="L25" i="14" s="1"/>
  <c r="H26" i="14"/>
  <c r="K26" i="14"/>
  <c r="L26" i="14" s="1"/>
  <c r="H27" i="14"/>
  <c r="K27" i="14"/>
  <c r="L27" i="14" s="1"/>
  <c r="G29" i="14"/>
  <c r="G31" i="14" s="1"/>
  <c r="H29" i="14"/>
  <c r="K29" i="14"/>
  <c r="L29" i="14" s="1"/>
  <c r="H31" i="14"/>
  <c r="K31" i="14"/>
  <c r="L31" i="14" s="1"/>
  <c r="H32" i="14"/>
  <c r="K32" i="14"/>
  <c r="L32" i="14" s="1"/>
  <c r="H34" i="14"/>
  <c r="K34" i="14"/>
  <c r="L34" i="14" s="1"/>
  <c r="H35" i="14"/>
  <c r="K35" i="14"/>
  <c r="L35" i="14" s="1"/>
  <c r="H36" i="14"/>
  <c r="K36" i="14"/>
  <c r="L36" i="14" s="1"/>
  <c r="H38" i="14"/>
  <c r="K38" i="14"/>
  <c r="L38" i="14" s="1"/>
  <c r="G39" i="14"/>
  <c r="H39" i="14"/>
  <c r="K39" i="14"/>
  <c r="L39" i="14" s="1"/>
  <c r="K59" i="14" l="1"/>
  <c r="L59" i="14" s="1"/>
  <c r="K60" i="14"/>
  <c r="L60" i="14" s="1"/>
  <c r="B12" i="14"/>
  <c r="B13" i="14" s="1"/>
  <c r="B14" i="14" s="1"/>
  <c r="B15" i="14" s="1"/>
  <c r="J23" i="2"/>
  <c r="J34" i="8" l="1"/>
  <c r="K58" i="14" l="1"/>
  <c r="L58" i="14" s="1"/>
  <c r="L11" i="15" l="1"/>
  <c r="L22" i="2"/>
  <c r="H22" i="2"/>
  <c r="L42" i="2"/>
  <c r="H42" i="2"/>
  <c r="K23" i="2"/>
  <c r="F23" i="2"/>
  <c r="M42" i="2" l="1"/>
  <c r="M22" i="2"/>
  <c r="J20" i="8" l="1"/>
  <c r="J32" i="8" l="1"/>
  <c r="J29" i="8"/>
  <c r="J18" i="5" l="1"/>
  <c r="G18" i="5"/>
  <c r="I69" i="14"/>
  <c r="I71" i="14" s="1"/>
  <c r="L8" i="5" l="1"/>
  <c r="K8" i="5"/>
  <c r="F33" i="2"/>
  <c r="K33" i="2"/>
  <c r="L31" i="2"/>
  <c r="H31" i="2"/>
  <c r="E31" i="2"/>
  <c r="M31" i="2" l="1"/>
  <c r="K57" i="14"/>
  <c r="L57" i="14" s="1"/>
  <c r="J9" i="2" l="1"/>
  <c r="J155" i="2"/>
  <c r="H11" i="15" l="1"/>
  <c r="J11" i="15"/>
  <c r="K11" i="15"/>
  <c r="O14" i="6" l="1"/>
  <c r="P14" i="6" s="1"/>
  <c r="O15" i="6"/>
  <c r="O16" i="6"/>
  <c r="K9" i="2" l="1"/>
  <c r="F9" i="2"/>
  <c r="K165" i="2" l="1"/>
  <c r="F165" i="2"/>
  <c r="F18" i="5"/>
  <c r="J46" i="2" l="1"/>
  <c r="E8" i="2" l="1"/>
  <c r="H8" i="2"/>
  <c r="L8" i="2"/>
  <c r="H32" i="2"/>
  <c r="H33" i="2" s="1"/>
  <c r="M8" i="2" l="1"/>
  <c r="N28" i="4"/>
  <c r="O27" i="4"/>
  <c r="L27" i="4"/>
  <c r="P27" i="4" s="1"/>
  <c r="Q27" i="4" s="1"/>
  <c r="O26" i="4"/>
  <c r="L26" i="4"/>
  <c r="P26" i="4" l="1"/>
  <c r="Q26" i="4" s="1"/>
  <c r="K55" i="14" l="1"/>
  <c r="L55" i="14" s="1"/>
  <c r="K54" i="14"/>
  <c r="L54" i="14" s="1"/>
  <c r="L118" i="2" l="1"/>
  <c r="O13" i="4" l="1"/>
  <c r="O14" i="4"/>
  <c r="O15" i="4"/>
  <c r="O16" i="4"/>
  <c r="O17" i="4"/>
  <c r="O18" i="4"/>
  <c r="O19" i="4"/>
  <c r="O20" i="4"/>
  <c r="O21" i="4"/>
  <c r="O22" i="4"/>
  <c r="O23" i="4"/>
  <c r="O24" i="4"/>
  <c r="O25" i="4"/>
  <c r="O12" i="4"/>
  <c r="O12" i="6"/>
  <c r="O17" i="6"/>
  <c r="O18" i="6"/>
  <c r="O19" i="6"/>
  <c r="O20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11" i="6"/>
  <c r="O28" i="4" l="1"/>
  <c r="B12" i="6"/>
  <c r="B17" i="6" l="1"/>
  <c r="B18" i="6" s="1"/>
  <c r="B19" i="6" s="1"/>
  <c r="B20" i="6" s="1"/>
  <c r="B21" i="6" s="1"/>
  <c r="B23" i="6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K36" i="6" l="1"/>
  <c r="P36" i="6" s="1"/>
  <c r="M38" i="6" l="1"/>
  <c r="N38" i="6"/>
  <c r="K35" i="6"/>
  <c r="P35" i="6" s="1"/>
  <c r="K34" i="6"/>
  <c r="P34" i="6" s="1"/>
  <c r="B16" i="14" l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K9" i="11"/>
  <c r="B28" i="14" l="1"/>
  <c r="B29" i="14" s="1"/>
  <c r="L25" i="4"/>
  <c r="P25" i="4" s="1"/>
  <c r="Q25" i="4" s="1"/>
  <c r="B30" i="14" l="1"/>
  <c r="G14" i="11"/>
  <c r="F14" i="16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L13" i="4"/>
  <c r="L14" i="4"/>
  <c r="P14" i="4" s="1"/>
  <c r="Q14" i="4" s="1"/>
  <c r="L15" i="4"/>
  <c r="P15" i="4" s="1"/>
  <c r="Q15" i="4" s="1"/>
  <c r="L16" i="4"/>
  <c r="P16" i="4" s="1"/>
  <c r="Q16" i="4" s="1"/>
  <c r="L17" i="4"/>
  <c r="P17" i="4" s="1"/>
  <c r="Q17" i="4" s="1"/>
  <c r="L18" i="4"/>
  <c r="P18" i="4" s="1"/>
  <c r="Q18" i="4" s="1"/>
  <c r="L19" i="4"/>
  <c r="P19" i="4" s="1"/>
  <c r="Q19" i="4" s="1"/>
  <c r="L20" i="4"/>
  <c r="P20" i="4" s="1"/>
  <c r="Q20" i="4" s="1"/>
  <c r="L21" i="4"/>
  <c r="P21" i="4" s="1"/>
  <c r="Q21" i="4" s="1"/>
  <c r="L22" i="4"/>
  <c r="P22" i="4" s="1"/>
  <c r="Q22" i="4" s="1"/>
  <c r="L23" i="4"/>
  <c r="P23" i="4" s="1"/>
  <c r="Q23" i="4" s="1"/>
  <c r="L24" i="4"/>
  <c r="P24" i="4" s="1"/>
  <c r="Q24" i="4" s="1"/>
  <c r="K16" i="6"/>
  <c r="P16" i="6" s="1"/>
  <c r="K17" i="6"/>
  <c r="P17" i="6" s="1"/>
  <c r="K18" i="6"/>
  <c r="P18" i="6" s="1"/>
  <c r="K19" i="6"/>
  <c r="P19" i="6" s="1"/>
  <c r="K20" i="6"/>
  <c r="P20" i="6" s="1"/>
  <c r="K22" i="6"/>
  <c r="P22" i="6" s="1"/>
  <c r="K23" i="6"/>
  <c r="P23" i="6" s="1"/>
  <c r="K24" i="6"/>
  <c r="P24" i="6" s="1"/>
  <c r="K25" i="6"/>
  <c r="P25" i="6" s="1"/>
  <c r="K26" i="6"/>
  <c r="P26" i="6" s="1"/>
  <c r="K27" i="6"/>
  <c r="P27" i="6" s="1"/>
  <c r="K28" i="6"/>
  <c r="P28" i="6" s="1"/>
  <c r="K29" i="6"/>
  <c r="P29" i="6" s="1"/>
  <c r="K30" i="6"/>
  <c r="P30" i="6" s="1"/>
  <c r="K31" i="6"/>
  <c r="P31" i="6" s="1"/>
  <c r="K32" i="6"/>
  <c r="P32" i="6" s="1"/>
  <c r="K33" i="6"/>
  <c r="P33" i="6" s="1"/>
  <c r="K37" i="6"/>
  <c r="P37" i="6" s="1"/>
  <c r="B31" i="14" l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P13" i="4"/>
  <c r="Q13" i="4" s="1"/>
  <c r="D9" i="9" l="1"/>
  <c r="E9" i="9" s="1"/>
  <c r="G9" i="9" s="1"/>
  <c r="D10" i="9"/>
  <c r="E10" i="9" s="1"/>
  <c r="G10" i="9" s="1"/>
  <c r="D8" i="9"/>
  <c r="E8" i="9" s="1"/>
  <c r="G8" i="9" s="1"/>
  <c r="G11" i="9" l="1"/>
  <c r="L37" i="2" l="1"/>
  <c r="F10" i="16" l="1"/>
  <c r="F16" i="16" s="1"/>
  <c r="Q11" i="3"/>
  <c r="K16" i="5"/>
  <c r="L16" i="5" s="1"/>
  <c r="J62" i="14" l="1"/>
  <c r="K53" i="14"/>
  <c r="L53" i="14" s="1"/>
  <c r="J13" i="16" l="1"/>
  <c r="L176" i="2" l="1"/>
  <c r="B13" i="4"/>
  <c r="B14" i="4" s="1"/>
  <c r="B15" i="4" s="1"/>
  <c r="B16" i="4" s="1"/>
  <c r="B17" i="4" s="1"/>
  <c r="B18" i="4" s="1"/>
  <c r="B19" i="4" s="1"/>
  <c r="B20" i="4" s="1"/>
  <c r="J12" i="16"/>
  <c r="J14" i="16" s="1"/>
  <c r="G14" i="16"/>
  <c r="G10" i="16"/>
  <c r="G16" i="16" s="1"/>
  <c r="H16" i="16"/>
  <c r="E16" i="16"/>
  <c r="I12" i="16"/>
  <c r="I14" i="16" s="1"/>
  <c r="I9" i="16"/>
  <c r="J9" i="16"/>
  <c r="I8" i="16"/>
  <c r="L132" i="2"/>
  <c r="L60" i="2"/>
  <c r="L51" i="2"/>
  <c r="I10" i="16" l="1"/>
  <c r="I16" i="16" s="1"/>
  <c r="J8" i="16"/>
  <c r="J10" i="16" s="1"/>
  <c r="J16" i="16" s="1"/>
  <c r="M11" i="15" l="1"/>
  <c r="N10" i="15"/>
  <c r="I9" i="15"/>
  <c r="L9" i="15" s="1"/>
  <c r="N9" i="15" s="1"/>
  <c r="I8" i="15"/>
  <c r="L8" i="15" s="1"/>
  <c r="N8" i="15" s="1"/>
  <c r="I7" i="15"/>
  <c r="I11" i="15" s="1"/>
  <c r="L18" i="15" l="1"/>
  <c r="L7" i="15"/>
  <c r="N7" i="15" l="1"/>
  <c r="N11" i="15" s="1"/>
  <c r="L19" i="15" l="1"/>
  <c r="N18" i="15"/>
  <c r="L24" i="13" l="1"/>
  <c r="B15" i="13"/>
  <c r="B10" i="13"/>
  <c r="B11" i="13"/>
  <c r="C17" i="13"/>
  <c r="B17" i="13" s="1"/>
  <c r="K52" i="14" l="1"/>
  <c r="L52" i="14" s="1"/>
  <c r="K51" i="14" l="1"/>
  <c r="L51" i="14" s="1"/>
  <c r="C14" i="13" l="1"/>
  <c r="B14" i="13" s="1"/>
  <c r="K50" i="14"/>
  <c r="L50" i="14" s="1"/>
  <c r="K49" i="14" l="1"/>
  <c r="L49" i="14" s="1"/>
  <c r="K48" i="14"/>
  <c r="L48" i="14" s="1"/>
  <c r="K47" i="14" l="1"/>
  <c r="L47" i="14" s="1"/>
  <c r="K46" i="14" l="1"/>
  <c r="L46" i="14" s="1"/>
  <c r="J15" i="3" l="1"/>
  <c r="H45" i="14"/>
  <c r="J22" i="3"/>
  <c r="E148" i="2"/>
  <c r="E118" i="2"/>
  <c r="K12" i="11" l="1"/>
  <c r="K13" i="11"/>
  <c r="K10" i="11"/>
  <c r="E44" i="2"/>
  <c r="G23" i="6" l="1"/>
  <c r="H68" i="14" l="1"/>
  <c r="H67" i="14"/>
  <c r="H66" i="14"/>
  <c r="H65" i="14"/>
  <c r="H64" i="14"/>
  <c r="H44" i="14"/>
  <c r="H43" i="14"/>
  <c r="H42" i="14"/>
  <c r="H37" i="14"/>
  <c r="H33" i="14"/>
  <c r="H30" i="14"/>
  <c r="H56" i="14"/>
  <c r="H28" i="14"/>
  <c r="H16" i="14"/>
  <c r="H12" i="14"/>
  <c r="J34" i="3"/>
  <c r="J33" i="3"/>
  <c r="J32" i="3"/>
  <c r="J31" i="3"/>
  <c r="J30" i="3"/>
  <c r="J29" i="3"/>
  <c r="J28" i="3"/>
  <c r="J27" i="3"/>
  <c r="J26" i="3"/>
  <c r="J25" i="3"/>
  <c r="J24" i="3"/>
  <c r="J23" i="3"/>
  <c r="Q21" i="3"/>
  <c r="R21" i="3" s="1"/>
  <c r="J21" i="3"/>
  <c r="J20" i="3"/>
  <c r="J19" i="3"/>
  <c r="J18" i="3"/>
  <c r="J17" i="3"/>
  <c r="J14" i="3"/>
  <c r="J13" i="3"/>
  <c r="J12" i="3"/>
  <c r="M11" i="3"/>
  <c r="R11" i="3" s="1"/>
  <c r="J11" i="3"/>
  <c r="H22" i="4"/>
  <c r="H21" i="4"/>
  <c r="H14" i="4"/>
  <c r="H15" i="4"/>
  <c r="H16" i="4"/>
  <c r="H17" i="4"/>
  <c r="H18" i="4"/>
  <c r="H19" i="4"/>
  <c r="H20" i="4"/>
  <c r="H12" i="4"/>
  <c r="G37" i="6"/>
  <c r="G26" i="6"/>
  <c r="G25" i="6"/>
  <c r="G22" i="6"/>
  <c r="G20" i="6"/>
  <c r="G19" i="6"/>
  <c r="G18" i="6"/>
  <c r="G17" i="6"/>
  <c r="G16" i="6"/>
  <c r="G15" i="6"/>
  <c r="G12" i="6"/>
  <c r="G11" i="6"/>
  <c r="E17" i="2"/>
  <c r="E13" i="2"/>
  <c r="E12" i="2"/>
  <c r="E7" i="2"/>
  <c r="E181" i="2"/>
  <c r="J28" i="4" l="1"/>
  <c r="H176" i="2"/>
  <c r="M176" i="2" s="1"/>
  <c r="E176" i="2"/>
  <c r="E170" i="2"/>
  <c r="H170" i="2" s="1"/>
  <c r="E163" i="2"/>
  <c r="H163" i="2" s="1"/>
  <c r="H165" i="2" s="1"/>
  <c r="H154" i="2"/>
  <c r="E154" i="2"/>
  <c r="E149" i="2"/>
  <c r="H149" i="2" s="1"/>
  <c r="H148" i="2"/>
  <c r="E136" i="2"/>
  <c r="E135" i="2"/>
  <c r="E134" i="2"/>
  <c r="E133" i="2"/>
  <c r="E132" i="2"/>
  <c r="E131" i="2"/>
  <c r="E130" i="2"/>
  <c r="H130" i="2" s="1"/>
  <c r="H118" i="2"/>
  <c r="E117" i="2"/>
  <c r="E112" i="2"/>
  <c r="H112" i="2" s="1"/>
  <c r="H111" i="2" l="1"/>
  <c r="E111" i="2"/>
  <c r="E110" i="2" l="1"/>
  <c r="E109" i="2"/>
  <c r="H109" i="2" s="1"/>
  <c r="E108" i="2"/>
  <c r="H108" i="2" s="1"/>
  <c r="E99" i="2"/>
  <c r="H99" i="2" s="1"/>
  <c r="E89" i="2"/>
  <c r="H89" i="2" s="1"/>
  <c r="H88" i="2"/>
  <c r="E88" i="2"/>
  <c r="E87" i="2"/>
  <c r="H87" i="2" s="1"/>
  <c r="E86" i="2"/>
  <c r="H86" i="2" s="1"/>
  <c r="E85" i="2"/>
  <c r="H85" i="2" s="1"/>
  <c r="E84" i="2"/>
  <c r="H84" i="2" s="1"/>
  <c r="E83" i="2"/>
  <c r="H83" i="2" s="1"/>
  <c r="E72" i="2"/>
  <c r="H72" i="2" s="1"/>
  <c r="L67" i="2"/>
  <c r="E67" i="2"/>
  <c r="H67" i="2" s="1"/>
  <c r="E66" i="2"/>
  <c r="H66" i="2" s="1"/>
  <c r="H68" i="2" s="1"/>
  <c r="E94" i="2"/>
  <c r="H94" i="2" s="1"/>
  <c r="H44" i="2"/>
  <c r="E61" i="2"/>
  <c r="H61" i="2" s="1"/>
  <c r="E60" i="2"/>
  <c r="H60" i="2" s="1"/>
  <c r="M60" i="2" s="1"/>
  <c r="K52" i="2"/>
  <c r="E51" i="2"/>
  <c r="H51" i="2" s="1"/>
  <c r="M51" i="2" s="1"/>
  <c r="E50" i="2"/>
  <c r="H50" i="2" s="1"/>
  <c r="E45" i="2"/>
  <c r="H45" i="2" s="1"/>
  <c r="E43" i="2"/>
  <c r="H43" i="2" s="1"/>
  <c r="E37" i="2"/>
  <c r="H37" i="2" s="1"/>
  <c r="E36" i="2"/>
  <c r="H36" i="2" s="1"/>
  <c r="E32" i="2"/>
  <c r="H23" i="2"/>
  <c r="H17" i="2"/>
  <c r="H13" i="2"/>
  <c r="H12" i="2"/>
  <c r="M67" i="2" l="1"/>
  <c r="H7" i="2"/>
  <c r="H9" i="2" s="1"/>
  <c r="K56" i="14" l="1"/>
  <c r="L56" i="14" s="1"/>
  <c r="K44" i="14" l="1"/>
  <c r="L44" i="14" s="1"/>
  <c r="K43" i="14" l="1"/>
  <c r="L43" i="14" s="1"/>
  <c r="K45" i="14" l="1"/>
  <c r="L45" i="14" s="1"/>
  <c r="J119" i="2" l="1"/>
  <c r="H17" i="13" l="1"/>
  <c r="H18" i="13" s="1"/>
  <c r="O35" i="3" l="1"/>
  <c r="J69" i="14" l="1"/>
  <c r="J71" i="14" s="1"/>
  <c r="K119" i="2" l="1"/>
  <c r="F119" i="2"/>
  <c r="H117" i="2"/>
  <c r="L117" i="2"/>
  <c r="H119" i="2" l="1"/>
  <c r="M117" i="2"/>
  <c r="K65" i="14" l="1"/>
  <c r="L65" i="14" s="1"/>
  <c r="K66" i="14"/>
  <c r="L66" i="14" s="1"/>
  <c r="K67" i="14"/>
  <c r="L67" i="14" s="1"/>
  <c r="K68" i="14"/>
  <c r="L68" i="14" s="1"/>
  <c r="K64" i="14"/>
  <c r="L64" i="14" s="1"/>
  <c r="K12" i="14"/>
  <c r="L12" i="14" s="1"/>
  <c r="K16" i="14"/>
  <c r="L16" i="14" s="1"/>
  <c r="K28" i="14"/>
  <c r="L28" i="14" s="1"/>
  <c r="K30" i="14"/>
  <c r="L30" i="14" s="1"/>
  <c r="K33" i="14"/>
  <c r="L33" i="14" s="1"/>
  <c r="K37" i="14"/>
  <c r="L37" i="14" s="1"/>
  <c r="K40" i="14"/>
  <c r="L40" i="14" s="1"/>
  <c r="K41" i="14"/>
  <c r="L41" i="14" s="1"/>
  <c r="K42" i="14"/>
  <c r="L42" i="14" s="1"/>
  <c r="C13" i="13"/>
  <c r="B13" i="13" s="1"/>
  <c r="L62" i="14" l="1"/>
  <c r="L69" i="14"/>
  <c r="K62" i="14"/>
  <c r="K69" i="14"/>
  <c r="K71" i="14" l="1"/>
  <c r="K80" i="14" s="1"/>
  <c r="H46" i="2" l="1"/>
  <c r="K46" i="2"/>
  <c r="G182" i="2" l="1"/>
  <c r="J182" i="2"/>
  <c r="G177" i="2"/>
  <c r="K90" i="2" l="1"/>
  <c r="L89" i="2"/>
  <c r="M89" i="2" s="1"/>
  <c r="H90" i="2"/>
  <c r="G90" i="2"/>
  <c r="F90" i="2"/>
  <c r="L44" i="2" l="1"/>
  <c r="M44" i="2" s="1"/>
  <c r="H110" i="2" l="1"/>
  <c r="L9" i="5" l="1"/>
  <c r="L10" i="5"/>
  <c r="L11" i="5"/>
  <c r="L12" i="5"/>
  <c r="L13" i="5"/>
  <c r="L14" i="5"/>
  <c r="L15" i="5"/>
  <c r="L17" i="5"/>
  <c r="I18" i="5"/>
  <c r="L18" i="5" l="1"/>
  <c r="J14" i="2"/>
  <c r="J18" i="2"/>
  <c r="J33" i="2"/>
  <c r="J38" i="2"/>
  <c r="J52" i="2"/>
  <c r="J62" i="2"/>
  <c r="J73" i="2"/>
  <c r="J90" i="2"/>
  <c r="J95" i="2"/>
  <c r="J100" i="2"/>
  <c r="J113" i="2"/>
  <c r="J137" i="2"/>
  <c r="J150" i="2"/>
  <c r="J165" i="2"/>
  <c r="J171" i="2"/>
  <c r="J177" i="2"/>
  <c r="J185" i="2" l="1"/>
  <c r="H181" i="2"/>
  <c r="H182" i="2" s="1"/>
  <c r="F182" i="2"/>
  <c r="K182" i="2"/>
  <c r="L181" i="2"/>
  <c r="L182" i="2" l="1"/>
  <c r="M181" i="2"/>
  <c r="M182" i="2" s="1"/>
  <c r="I38" i="6"/>
  <c r="L38" i="6"/>
  <c r="E13" i="13" l="1"/>
  <c r="F14" i="13"/>
  <c r="K62" i="2" l="1"/>
  <c r="K171" i="2"/>
  <c r="K177" i="2"/>
  <c r="K35" i="3" l="1"/>
  <c r="M35" i="3"/>
  <c r="C12" i="13" s="1"/>
  <c r="B12" i="13" s="1"/>
  <c r="P35" i="3"/>
  <c r="D18" i="5" l="1"/>
  <c r="K155" i="2" l="1"/>
  <c r="K150" i="2"/>
  <c r="K137" i="2"/>
  <c r="K113" i="2"/>
  <c r="K100" i="2"/>
  <c r="K95" i="2"/>
  <c r="K73" i="2"/>
  <c r="K38" i="2"/>
  <c r="K18" i="2"/>
  <c r="K14" i="2"/>
  <c r="I177" i="2"/>
  <c r="L177" i="2"/>
  <c r="F14" i="2"/>
  <c r="H14" i="2"/>
  <c r="I14" i="2"/>
  <c r="K11" i="6"/>
  <c r="P11" i="6" s="1"/>
  <c r="Q17" i="3"/>
  <c r="R17" i="3" s="1"/>
  <c r="L43" i="2"/>
  <c r="M43" i="2" s="1"/>
  <c r="K185" i="2" l="1"/>
  <c r="C8" i="13"/>
  <c r="B8" i="13" s="1"/>
  <c r="L27" i="5"/>
  <c r="L28" i="5" s="1"/>
  <c r="H177" i="2"/>
  <c r="H171" i="2"/>
  <c r="H155" i="2"/>
  <c r="H150" i="2"/>
  <c r="H113" i="2"/>
  <c r="H100" i="2"/>
  <c r="H95" i="2"/>
  <c r="H73" i="2"/>
  <c r="H62" i="2"/>
  <c r="H52" i="2"/>
  <c r="H38" i="2"/>
  <c r="H18" i="2"/>
  <c r="F177" i="2" l="1"/>
  <c r="F46" i="2"/>
  <c r="F18" i="2"/>
  <c r="F62" i="2" l="1"/>
  <c r="M177" i="2"/>
  <c r="E8" i="13" l="1"/>
  <c r="M28" i="4"/>
  <c r="G64" i="14" l="1"/>
  <c r="G12" i="14" s="1"/>
  <c r="G13" i="14" l="1"/>
  <c r="G14" i="14" s="1"/>
  <c r="G15" i="14" s="1"/>
  <c r="G16" i="14" s="1"/>
  <c r="G65" i="14" s="1"/>
  <c r="G66" i="14" s="1"/>
  <c r="G17" i="14" s="1"/>
  <c r="G18" i="14" s="1"/>
  <c r="G19" i="14" s="1"/>
  <c r="G20" i="14" s="1"/>
  <c r="G28" i="14"/>
  <c r="G56" i="14" s="1"/>
  <c r="G67" i="14"/>
  <c r="F17" i="13"/>
  <c r="F18" i="13" s="1"/>
  <c r="G33" i="14" l="1"/>
  <c r="G34" i="14" s="1"/>
  <c r="G35" i="14" s="1"/>
  <c r="G36" i="14" s="1"/>
  <c r="G37" i="14" s="1"/>
  <c r="G32" i="14"/>
  <c r="G68" i="14"/>
  <c r="I165" i="2" l="1"/>
  <c r="G165" i="2"/>
  <c r="A73" i="13" l="1"/>
  <c r="L163" i="2" l="1"/>
  <c r="L165" i="2" s="1"/>
  <c r="L170" i="2"/>
  <c r="F171" i="2"/>
  <c r="G171" i="2"/>
  <c r="I171" i="2"/>
  <c r="M163" i="2" l="1"/>
  <c r="M165" i="2" s="1"/>
  <c r="L171" i="2"/>
  <c r="M170" i="2"/>
  <c r="I14" i="11"/>
  <c r="H14" i="11"/>
  <c r="F14" i="11"/>
  <c r="D14" i="11"/>
  <c r="J13" i="11"/>
  <c r="J12" i="11"/>
  <c r="K11" i="11"/>
  <c r="J11" i="11"/>
  <c r="J10" i="11"/>
  <c r="J9" i="11"/>
  <c r="K8" i="11"/>
  <c r="K14" i="11" s="1"/>
  <c r="J8" i="11"/>
  <c r="C16" i="13" l="1"/>
  <c r="B16" i="13" s="1"/>
  <c r="M171" i="2"/>
  <c r="J14" i="11"/>
  <c r="C11" i="9" l="1"/>
  <c r="G15" i="13" l="1"/>
  <c r="G18" i="13" l="1"/>
  <c r="S30" i="5" l="1"/>
  <c r="J38" i="6" l="1"/>
  <c r="P15" i="6" l="1"/>
  <c r="K12" i="6"/>
  <c r="P12" i="6" s="1"/>
  <c r="H18" i="5"/>
  <c r="K17" i="5"/>
  <c r="K15" i="5"/>
  <c r="K14" i="5"/>
  <c r="K13" i="5"/>
  <c r="K12" i="5"/>
  <c r="K11" i="5"/>
  <c r="K10" i="5"/>
  <c r="K9" i="5"/>
  <c r="K28" i="4"/>
  <c r="L12" i="4"/>
  <c r="L28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I11" i="3"/>
  <c r="L109" i="2"/>
  <c r="M109" i="2" s="1"/>
  <c r="L110" i="2"/>
  <c r="M110" i="2" s="1"/>
  <c r="L111" i="2"/>
  <c r="M111" i="2" s="1"/>
  <c r="L112" i="2"/>
  <c r="M112" i="2" s="1"/>
  <c r="L108" i="2"/>
  <c r="L66" i="2"/>
  <c r="L61" i="2"/>
  <c r="M61" i="2" s="1"/>
  <c r="L50" i="2"/>
  <c r="M50" i="2" s="1"/>
  <c r="K18" i="5" l="1"/>
  <c r="R35" i="3"/>
  <c r="M66" i="2"/>
  <c r="M68" i="2" s="1"/>
  <c r="L68" i="2"/>
  <c r="P12" i="4"/>
  <c r="O38" i="6"/>
  <c r="M118" i="2"/>
  <c r="M119" i="2" s="1"/>
  <c r="L119" i="2"/>
  <c r="Q35" i="3"/>
  <c r="R44" i="3" s="1"/>
  <c r="L62" i="2"/>
  <c r="M62" i="2"/>
  <c r="L113" i="2"/>
  <c r="M108" i="2"/>
  <c r="K38" i="6"/>
  <c r="M52" i="2"/>
  <c r="G137" i="2"/>
  <c r="F137" i="2"/>
  <c r="L154" i="2"/>
  <c r="M154" i="2" s="1"/>
  <c r="G155" i="2"/>
  <c r="I155" i="2"/>
  <c r="F155" i="2"/>
  <c r="L149" i="2"/>
  <c r="M149" i="2" s="1"/>
  <c r="L148" i="2"/>
  <c r="M148" i="2" s="1"/>
  <c r="G150" i="2"/>
  <c r="I150" i="2"/>
  <c r="F150" i="2"/>
  <c r="H131" i="2"/>
  <c r="H132" i="2"/>
  <c r="M132" i="2" s="1"/>
  <c r="H133" i="2"/>
  <c r="H134" i="2"/>
  <c r="H135" i="2"/>
  <c r="H136" i="2"/>
  <c r="L131" i="2"/>
  <c r="L133" i="2"/>
  <c r="L134" i="2"/>
  <c r="L135" i="2"/>
  <c r="L136" i="2"/>
  <c r="L130" i="2"/>
  <c r="M130" i="2" s="1"/>
  <c r="G119" i="2"/>
  <c r="I119" i="2"/>
  <c r="G113" i="2"/>
  <c r="I113" i="2"/>
  <c r="F113" i="2"/>
  <c r="L99" i="2"/>
  <c r="M99" i="2" s="1"/>
  <c r="G100" i="2"/>
  <c r="I100" i="2"/>
  <c r="F100" i="2"/>
  <c r="L94" i="2"/>
  <c r="M94" i="2" s="1"/>
  <c r="G95" i="2"/>
  <c r="I95" i="2"/>
  <c r="F95" i="2"/>
  <c r="L84" i="2"/>
  <c r="M84" i="2" s="1"/>
  <c r="L85" i="2"/>
  <c r="M85" i="2" s="1"/>
  <c r="L86" i="2"/>
  <c r="M86" i="2" s="1"/>
  <c r="L87" i="2"/>
  <c r="M87" i="2" s="1"/>
  <c r="L88" i="2"/>
  <c r="M88" i="2" s="1"/>
  <c r="L83" i="2"/>
  <c r="I90" i="2"/>
  <c r="L72" i="2"/>
  <c r="G73" i="2"/>
  <c r="I73" i="2"/>
  <c r="F73" i="2"/>
  <c r="G68" i="2"/>
  <c r="G62" i="2"/>
  <c r="I62" i="2"/>
  <c r="G52" i="2"/>
  <c r="I52" i="2"/>
  <c r="L52" i="2"/>
  <c r="F52" i="2"/>
  <c r="L45" i="2"/>
  <c r="M45" i="2" s="1"/>
  <c r="G46" i="2"/>
  <c r="I46" i="2"/>
  <c r="M37" i="2"/>
  <c r="L36" i="2"/>
  <c r="M36" i="2" s="1"/>
  <c r="G38" i="2"/>
  <c r="I38" i="2"/>
  <c r="F38" i="2"/>
  <c r="L32" i="2"/>
  <c r="G33" i="2"/>
  <c r="I33" i="2"/>
  <c r="L23" i="2"/>
  <c r="L17" i="2"/>
  <c r="M17" i="2" s="1"/>
  <c r="G18" i="2"/>
  <c r="I18" i="2"/>
  <c r="L13" i="2"/>
  <c r="M13" i="2" s="1"/>
  <c r="L12" i="2"/>
  <c r="M12" i="2" s="1"/>
  <c r="G14" i="2"/>
  <c r="L7" i="2"/>
  <c r="G9" i="2"/>
  <c r="I9" i="2"/>
  <c r="P28" i="4" l="1"/>
  <c r="Q12" i="4"/>
  <c r="Q28" i="4" s="1"/>
  <c r="M23" i="2"/>
  <c r="M32" i="2"/>
  <c r="M33" i="2" s="1"/>
  <c r="L33" i="2"/>
  <c r="G185" i="2"/>
  <c r="F195" i="2"/>
  <c r="F185" i="2"/>
  <c r="M7" i="2"/>
  <c r="M9" i="2" s="1"/>
  <c r="L9" i="2"/>
  <c r="P38" i="6"/>
  <c r="P54" i="6"/>
  <c r="P34" i="4"/>
  <c r="E11" i="13"/>
  <c r="E12" i="13"/>
  <c r="R45" i="3"/>
  <c r="M83" i="2"/>
  <c r="M90" i="2" s="1"/>
  <c r="L90" i="2"/>
  <c r="M46" i="2"/>
  <c r="L46" i="2"/>
  <c r="M136" i="2"/>
  <c r="M135" i="2"/>
  <c r="M134" i="2"/>
  <c r="L73" i="2"/>
  <c r="M72" i="2"/>
  <c r="M133" i="2"/>
  <c r="M131" i="2"/>
  <c r="M150" i="2"/>
  <c r="M18" i="2"/>
  <c r="L137" i="2"/>
  <c r="H137" i="2"/>
  <c r="H185" i="2" s="1"/>
  <c r="L150" i="2"/>
  <c r="L14" i="2"/>
  <c r="L95" i="2"/>
  <c r="L100" i="2"/>
  <c r="L155" i="2"/>
  <c r="M113" i="2"/>
  <c r="L38" i="2"/>
  <c r="L18" i="2"/>
  <c r="L185" i="2" l="1"/>
  <c r="P35" i="4"/>
  <c r="C9" i="13"/>
  <c r="B9" i="13" s="1"/>
  <c r="B18" i="13" s="1"/>
  <c r="F196" i="2"/>
  <c r="E10" i="13"/>
  <c r="E23" i="13" s="1"/>
  <c r="M137" i="2"/>
  <c r="M155" i="2"/>
  <c r="M95" i="2"/>
  <c r="M100" i="2"/>
  <c r="M14" i="2"/>
  <c r="M73" i="2"/>
  <c r="M38" i="2"/>
  <c r="M185" i="2" l="1"/>
  <c r="I137" i="2"/>
  <c r="I185" i="2" l="1"/>
  <c r="M195" i="2" s="1"/>
  <c r="C18" i="13"/>
  <c r="E9" i="13"/>
  <c r="E22" i="13" s="1"/>
  <c r="K195" i="2" l="1"/>
  <c r="K196" i="2" s="1"/>
  <c r="E24" i="13"/>
  <c r="M196" i="2"/>
  <c r="M197" i="2" s="1"/>
  <c r="E18" i="13"/>
  <c r="F20" i="13" s="1"/>
  <c r="P55" i="6" l="1"/>
</calcChain>
</file>

<file path=xl/sharedStrings.xml><?xml version="1.0" encoding="utf-8"?>
<sst xmlns="http://schemas.openxmlformats.org/spreadsheetml/2006/main" count="1247" uniqueCount="752">
  <si>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</si>
  <si>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</si>
  <si>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</si>
  <si>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</si>
  <si>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</si>
  <si>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</si>
  <si>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</si>
  <si>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</si>
  <si>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</si>
  <si>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</si>
  <si>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</si>
  <si>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</si>
  <si>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</si>
  <si>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</si>
  <si>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</si>
  <si>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</si>
  <si>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</si>
  <si>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</si>
  <si>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</si>
  <si>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</si>
  <si>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</si>
  <si>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</si>
  <si>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</si>
  <si>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</si>
  <si>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</si>
  <si>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</si>
  <si>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</si>
  <si>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</si>
  <si>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</si>
  <si>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</si>
  <si>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</si>
  <si>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</si>
  <si>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</si>
  <si>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</si>
  <si>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</si>
  <si>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</si>
  <si>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</si>
  <si>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</si>
  <si>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</si>
  <si>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HONORATO CABRERA NUÑEZ</t>
  </si>
  <si>
    <t>VERONICA SANTOS CARRILLO</t>
  </si>
  <si>
    <t>MARIO MARTINEZ FLORES</t>
  </si>
  <si>
    <t xml:space="preserve">I.S.R. </t>
  </si>
  <si>
    <t xml:space="preserve">Subs al Empleo 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</si>
  <si>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</si>
  <si>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</si>
  <si>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</si>
  <si>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</si>
  <si>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</si>
  <si>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</si>
  <si>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</si>
  <si>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</si>
  <si>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</si>
  <si>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</si>
  <si>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</si>
  <si>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</si>
  <si>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</si>
  <si>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</si>
  <si>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</si>
  <si>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</si>
  <si>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</si>
  <si>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</si>
  <si>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</si>
  <si>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</si>
  <si>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</si>
  <si>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</si>
  <si>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</si>
  <si>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</si>
  <si>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</si>
  <si>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</si>
  <si>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</si>
  <si>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</si>
  <si>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</si>
  <si>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</si>
  <si>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</si>
  <si>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</si>
  <si>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</si>
  <si>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</si>
  <si>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</si>
  <si>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</si>
  <si>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</si>
  <si>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</si>
  <si>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</si>
  <si>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</si>
  <si>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</si>
  <si>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</si>
  <si>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</si>
  <si>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</si>
  <si>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</si>
  <si>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</si>
  <si>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</si>
  <si>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</si>
  <si>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</si>
  <si>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</si>
  <si>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</si>
  <si>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</si>
  <si>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</si>
  <si>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</si>
  <si>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</si>
  <si>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</si>
  <si>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</si>
  <si>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</si>
  <si>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</si>
  <si>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</si>
  <si>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</si>
  <si>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</si>
  <si>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</si>
  <si>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</si>
  <si>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</si>
  <si>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</si>
  <si>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</si>
  <si>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</si>
  <si>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</si>
  <si>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</si>
  <si>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</si>
  <si>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</si>
  <si>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</si>
  <si>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</si>
  <si>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</si>
  <si>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</si>
  <si>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</si>
  <si>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</si>
  <si>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</si>
  <si>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</si>
  <si>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</si>
  <si>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</si>
  <si>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</si>
  <si>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</si>
  <si>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</si>
  <si>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</si>
  <si>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</si>
  <si>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</si>
  <si>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</si>
  <si>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</si>
  <si>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</si>
  <si>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</si>
  <si>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</si>
  <si>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</si>
  <si>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</si>
  <si>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</si>
  <si>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</si>
  <si>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</si>
  <si>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</si>
  <si>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</si>
  <si>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</si>
  <si>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</si>
  <si>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</si>
  <si>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</si>
  <si>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</si>
  <si>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</si>
  <si>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</si>
  <si>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</si>
  <si>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</si>
  <si>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</si>
  <si>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</si>
  <si>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</si>
  <si>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</si>
  <si>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</si>
  <si>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</si>
  <si>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</si>
  <si>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</si>
  <si>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</si>
  <si>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</si>
  <si>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</si>
  <si>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</si>
  <si>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</si>
  <si>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</si>
  <si>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</si>
  <si>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</si>
  <si>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</si>
  <si>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Lopez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</si>
  <si>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</si>
  <si>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</si>
  <si>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</si>
  <si>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</si>
  <si>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</si>
  <si>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</si>
  <si>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</si>
  <si>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</si>
  <si>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</si>
  <si>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</si>
  <si>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</si>
  <si>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</si>
  <si>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</si>
  <si>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</si>
  <si>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</si>
  <si>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</si>
  <si>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</si>
  <si>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</si>
  <si>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</si>
  <si>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</si>
  <si>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</si>
  <si>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DIRECTOR</t>
  </si>
  <si>
    <t xml:space="preserve">Isidro Guadalupe </t>
  </si>
  <si>
    <t>Comandante</t>
  </si>
  <si>
    <t>Jose Juan</t>
  </si>
  <si>
    <t>J.Guadalupe</t>
  </si>
  <si>
    <t>Policia de linea</t>
  </si>
  <si>
    <t>Diaz</t>
  </si>
  <si>
    <t>J. Jesus</t>
  </si>
  <si>
    <t>J.Manuel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</si>
  <si>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</si>
  <si>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</si>
  <si>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</si>
  <si>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</si>
  <si>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</si>
  <si>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</si>
  <si>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</si>
  <si>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</si>
  <si>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</si>
  <si>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</si>
  <si>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</si>
  <si>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</si>
  <si>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</si>
  <si>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</si>
  <si>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</si>
  <si>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</si>
  <si>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</si>
  <si>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</si>
  <si>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</si>
  <si>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</si>
  <si>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</si>
  <si>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</si>
  <si>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</si>
  <si>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</si>
  <si>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</si>
  <si>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</si>
  <si>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</si>
  <si>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</si>
  <si>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</si>
  <si>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</si>
  <si>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</si>
  <si>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</si>
  <si>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</si>
  <si>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</si>
  <si>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</si>
  <si>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</si>
  <si>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</si>
  <si>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</si>
  <si>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</si>
  <si>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</si>
  <si>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</si>
  <si>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</si>
  <si>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</si>
  <si>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</si>
  <si>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</si>
  <si>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</si>
  <si>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</si>
  <si>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</si>
  <si>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</si>
  <si>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</si>
  <si>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</si>
  <si>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</si>
  <si>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</si>
  <si>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</si>
  <si>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</si>
  <si>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</si>
  <si>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</si>
  <si>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</si>
  <si>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</si>
  <si>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</si>
  <si>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</si>
  <si>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</si>
  <si>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</si>
  <si>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</si>
  <si>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</si>
  <si>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</si>
  <si>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</si>
  <si>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Brayam Alberto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</si>
  <si>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</si>
  <si>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</si>
  <si>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</si>
  <si>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</si>
  <si>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</si>
  <si>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</si>
  <si>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</si>
  <si>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</si>
  <si>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</si>
  <si>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</si>
  <si>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</si>
  <si>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</si>
  <si>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</si>
  <si>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</si>
  <si>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</si>
  <si>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JORGE RAYGOZA MORENO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</si>
  <si>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</si>
  <si>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</si>
  <si>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</si>
  <si>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</si>
  <si>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</si>
  <si>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</si>
  <si>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</si>
  <si>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</si>
  <si>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</si>
  <si>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</si>
  <si>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</si>
  <si>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</si>
  <si>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</si>
  <si>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</si>
  <si>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</si>
  <si>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</si>
  <si>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</si>
  <si>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</si>
  <si>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</si>
  <si>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</si>
  <si>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</si>
  <si>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</si>
  <si>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</si>
  <si>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</si>
  <si>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</si>
  <si>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</si>
  <si>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</si>
  <si>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</si>
  <si>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</si>
  <si>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</si>
  <si>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</si>
  <si>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</si>
  <si>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</si>
  <si>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</si>
  <si>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</si>
  <si>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</si>
  <si>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</si>
  <si>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</si>
  <si>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</si>
  <si>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</si>
  <si>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</si>
  <si>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</si>
  <si>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</si>
  <si>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</si>
  <si>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</si>
  <si>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</si>
  <si>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</si>
  <si>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</si>
  <si>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</si>
  <si>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</si>
  <si>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</si>
  <si>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</si>
  <si>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</si>
  <si>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</si>
  <si>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</si>
  <si>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</si>
  <si>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</si>
  <si>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</si>
  <si>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</si>
  <si>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</si>
  <si>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</si>
  <si>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</si>
  <si>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</si>
  <si>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</si>
  <si>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</si>
  <si>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</si>
  <si>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</si>
  <si>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</si>
  <si>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</si>
  <si>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</si>
  <si>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</si>
  <si>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</si>
  <si>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</si>
  <si>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</si>
  <si>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</si>
  <si>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</si>
  <si>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</si>
  <si>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</si>
  <si>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</si>
  <si>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</si>
  <si>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</si>
  <si>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</si>
  <si>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</si>
  <si>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</si>
  <si>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</si>
  <si>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</si>
  <si>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</si>
  <si>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</si>
  <si>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</si>
  <si>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</si>
  <si>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</si>
  <si>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</si>
  <si>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</si>
  <si>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</si>
  <si>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</si>
  <si>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</si>
  <si>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</si>
  <si>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</si>
  <si>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</si>
  <si>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</si>
  <si>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</si>
  <si>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</si>
  <si>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</si>
  <si>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</si>
  <si>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Casa Cultura</t>
  </si>
  <si>
    <t xml:space="preserve">ISR </t>
  </si>
  <si>
    <t>mensual</t>
  </si>
  <si>
    <t>Instructores de casa de Cultura.</t>
  </si>
  <si>
    <t>Chavez</t>
  </si>
  <si>
    <t>Ana Rosa</t>
  </si>
  <si>
    <t>Felipe</t>
  </si>
  <si>
    <t>Instructor de Charrerria</t>
  </si>
  <si>
    <t>HICF940309TU7</t>
  </si>
  <si>
    <t>TOTAL MENSUAL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</si>
  <si>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</si>
  <si>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</si>
  <si>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</si>
  <si>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</si>
  <si>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</si>
  <si>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</si>
  <si>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</si>
  <si>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</si>
  <si>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</si>
  <si>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</si>
  <si>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</si>
  <si>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</si>
  <si>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</si>
  <si>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</si>
  <si>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</si>
  <si>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</si>
  <si>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</si>
  <si>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</si>
  <si>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</si>
  <si>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</si>
  <si>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</si>
  <si>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</si>
  <si>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</si>
  <si>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</si>
  <si>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</si>
  <si>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</si>
  <si>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</si>
  <si>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</si>
  <si>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</si>
  <si>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</si>
  <si>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</si>
  <si>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JUAN ZENON TORRES CARRILLO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</si>
  <si>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</si>
  <si>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</si>
  <si>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</si>
  <si>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</si>
  <si>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</si>
  <si>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</si>
  <si>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</si>
  <si>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</si>
  <si>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</si>
  <si>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</si>
  <si>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</si>
  <si>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</si>
  <si>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</si>
  <si>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</si>
  <si>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</si>
  <si>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</si>
  <si>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</si>
  <si>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</si>
  <si>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</si>
  <si>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</si>
  <si>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</si>
  <si>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</si>
  <si>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</si>
  <si>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</si>
  <si>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</si>
  <si>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</si>
  <si>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</si>
  <si>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</si>
  <si>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</si>
  <si>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</si>
  <si>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</si>
  <si>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</si>
  <si>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</si>
  <si>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</si>
  <si>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</si>
  <si>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</si>
  <si>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</si>
  <si>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</si>
  <si>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RAMJ-901027</t>
  </si>
  <si>
    <t xml:space="preserve">Enc. De Parque Ecologico </t>
  </si>
  <si>
    <t>Labor de Guadalupe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</si>
  <si>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</si>
  <si>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</si>
  <si>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</si>
  <si>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</si>
  <si>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</si>
  <si>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</si>
  <si>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</si>
  <si>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</si>
  <si>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</si>
  <si>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</si>
  <si>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</si>
  <si>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</si>
  <si>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</si>
  <si>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</si>
  <si>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</si>
  <si>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</si>
  <si>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</si>
  <si>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</si>
  <si>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</si>
  <si>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</si>
  <si>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</si>
  <si>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</si>
  <si>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</si>
  <si>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</si>
  <si>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</si>
  <si>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</si>
  <si>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</si>
  <si>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</si>
  <si>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</si>
  <si>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</si>
  <si>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</si>
  <si>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</si>
  <si>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</si>
  <si>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</si>
  <si>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</si>
  <si>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</si>
  <si>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</si>
  <si>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</si>
  <si>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</si>
  <si>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</si>
  <si>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</si>
  <si>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</si>
  <si>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</si>
  <si>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</si>
  <si>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</si>
  <si>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</si>
  <si>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</si>
  <si>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</si>
  <si>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</si>
  <si>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</si>
  <si>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</si>
  <si>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</si>
  <si>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</si>
  <si>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Nomina de Eventuales</t>
  </si>
  <si>
    <t>Pago Semanal</t>
  </si>
  <si>
    <t>ADMINISTRACION 2018-2021, H. AYUNTAMIENTO DE HOSTOTIPAQUILLO</t>
  </si>
  <si>
    <t>MAYRA L BRISEÑO VILLAGRANA</t>
  </si>
  <si>
    <t>DIRECTORA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</si>
  <si>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</si>
  <si>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</si>
  <si>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</si>
  <si>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</si>
  <si>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</si>
  <si>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</si>
  <si>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6 Registro Civil</t>
  </si>
  <si>
    <t>Abel</t>
  </si>
  <si>
    <t>PEÑA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</si>
  <si>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</si>
  <si>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</si>
  <si>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</si>
  <si>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</si>
  <si>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</si>
  <si>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</si>
  <si>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</si>
  <si>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 xml:space="preserve">JOSE GUTIERREZ RODRIGUEZ </t>
  </si>
  <si>
    <t>Secretario de Obras Publicas</t>
  </si>
  <si>
    <t>GERARDO MANZANO PEREZ</t>
  </si>
  <si>
    <t>Aguilar</t>
  </si>
  <si>
    <t xml:space="preserve">NOMINA EVENTUAL </t>
  </si>
  <si>
    <t>RAMON GONZALEZ VARELA</t>
  </si>
  <si>
    <t>JOSE ALFREDO HERNANDEZ AMAYA</t>
  </si>
  <si>
    <t xml:space="preserve">Prestamo </t>
  </si>
  <si>
    <t>Prestamo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</si>
  <si>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</si>
  <si>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</si>
  <si>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</si>
  <si>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</si>
  <si>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</si>
  <si>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</si>
  <si>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</si>
  <si>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</si>
  <si>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>LOPEZ FLORES ULISES</t>
  </si>
  <si>
    <t>CHOFER DE VOLTEO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</si>
  <si>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</si>
  <si>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</si>
  <si>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</si>
  <si>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</si>
  <si>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</si>
  <si>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</si>
  <si>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</si>
  <si>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</si>
  <si>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</si>
  <si>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</si>
  <si>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</si>
  <si>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AYON RUVALCABA JUAN JOSE</t>
  </si>
  <si>
    <t>ENC. DE ALUMBRADO PUBLICO</t>
  </si>
  <si>
    <t xml:space="preserve">FABIAN GARCIA GARCIA </t>
  </si>
  <si>
    <t xml:space="preserve">Axiliar General </t>
  </si>
  <si>
    <t>Descuento</t>
  </si>
  <si>
    <t xml:space="preserve">Faltas </t>
  </si>
  <si>
    <t>JOEL MARTINIANO LOPEZ CORONA</t>
  </si>
  <si>
    <t xml:space="preserve">HUERTA </t>
  </si>
  <si>
    <t xml:space="preserve">RAYGOSA </t>
  </si>
  <si>
    <t>BERENICE</t>
  </si>
  <si>
    <t>German</t>
  </si>
  <si>
    <t>OLGA PATRICIA VALDIVIA CARRILLO</t>
  </si>
  <si>
    <t>Corona</t>
  </si>
  <si>
    <t>Miguel</t>
  </si>
  <si>
    <t>JOSE ASCENCION JIMENEZ PONCE</t>
  </si>
  <si>
    <t>Operador de Maquina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</si>
  <si>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</si>
  <si>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</si>
  <si>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</si>
  <si>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</si>
  <si>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</si>
  <si>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AUXILIAR GENERAL</t>
  </si>
  <si>
    <t>RAFAEL  GONZALEZ VILLARREAL</t>
  </si>
  <si>
    <t xml:space="preserve">EL CARRIZO </t>
  </si>
  <si>
    <t>LORENA BARAJAS LEON</t>
  </si>
  <si>
    <t>Jesus David</t>
  </si>
  <si>
    <t>MIGUEL CARRANZA BAÑUELOS</t>
  </si>
  <si>
    <t>CTA</t>
  </si>
  <si>
    <t>AUX DE INT EN LA PLAZA DE LA LABOR DE GUAD</t>
  </si>
  <si>
    <t xml:space="preserve">Yesenia </t>
  </si>
  <si>
    <t>MAXIMILIANO COVARRUBIAS HERNANDEZ</t>
  </si>
  <si>
    <t>ALTA-      01/01/2020</t>
  </si>
  <si>
    <t xml:space="preserve">Subsidio al Empleo </t>
  </si>
  <si>
    <t>KARINA PARDO OROZCO</t>
  </si>
  <si>
    <t>Briseño</t>
  </si>
  <si>
    <t>Bryan Santiago</t>
  </si>
  <si>
    <t>J. FELIZ LUNA PEREZ</t>
  </si>
  <si>
    <t>ALTA EL 1 DE FEBRERO 2020</t>
  </si>
  <si>
    <t>Iliana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</si>
  <si>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</si>
  <si>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</si>
  <si>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</si>
  <si>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</si>
  <si>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>ALEJANDRO FLORES RUBIO</t>
  </si>
  <si>
    <t xml:space="preserve">GARCIA </t>
  </si>
  <si>
    <t xml:space="preserve">ROBLES </t>
  </si>
  <si>
    <t>JOSEFINA</t>
  </si>
  <si>
    <t>JOSE MANUEL PALACIOS MORENO</t>
  </si>
  <si>
    <t>Jose Luis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</si>
  <si>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</si>
  <si>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</si>
  <si>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</si>
  <si>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</si>
  <si>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</si>
  <si>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</si>
  <si>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</si>
  <si>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</si>
  <si>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</si>
  <si>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</si>
  <si>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</si>
  <si>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</si>
  <si>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Instructor de mariachi La Labor de Guadalupe y Hostotipaquillo</t>
  </si>
  <si>
    <t>ELBANGELINA</t>
  </si>
  <si>
    <t>AUXILIAR EN DESARROLLO RURAL</t>
  </si>
  <si>
    <t>Paulino</t>
  </si>
  <si>
    <t xml:space="preserve">ALONDRA JANETH MONROY MIRAMONTES </t>
  </si>
  <si>
    <t>VIRIDIANA RODRIGUEZ BRICEÑO</t>
  </si>
  <si>
    <t>JULIA BAUTISTA GARCIA</t>
  </si>
  <si>
    <t xml:space="preserve">AUXILIAR EN OBRA PUBLICA </t>
  </si>
  <si>
    <t>DIRECTORA DE CATASTRO</t>
  </si>
  <si>
    <t xml:space="preserve">Gutierrez </t>
  </si>
  <si>
    <t xml:space="preserve">MENSUAL </t>
  </si>
  <si>
    <t xml:space="preserve">QUINCENAL </t>
  </si>
  <si>
    <t>Hiram Josafat</t>
  </si>
  <si>
    <t>Karina</t>
  </si>
  <si>
    <t>Oscar Rodolfo</t>
  </si>
  <si>
    <t>Vialidad</t>
  </si>
  <si>
    <t>C. ELPIDIO MACIAS GALINDO</t>
  </si>
  <si>
    <t xml:space="preserve">PENSION POR JUBILACION </t>
  </si>
  <si>
    <t>PENSION POR INVALIDEZ</t>
  </si>
  <si>
    <t xml:space="preserve">TOTAL </t>
  </si>
  <si>
    <t>ALVARO CARRILLO LOPEZ</t>
  </si>
  <si>
    <t>OFICIAL DE LINEA         ( PROTECCION CIVIL )</t>
  </si>
  <si>
    <t xml:space="preserve">MARIA DEL CONSUELO AMEZQUITA SANDOVAL </t>
  </si>
  <si>
    <t>PABLO VIALVA ENRIQUEZ</t>
  </si>
  <si>
    <t>DIRECTOR DE DEPORTE</t>
  </si>
  <si>
    <t>AGUSTIN GONZALEZ PIZ</t>
  </si>
  <si>
    <t>Claudia</t>
  </si>
  <si>
    <t>Sandoval</t>
  </si>
  <si>
    <t>Guillermo</t>
  </si>
  <si>
    <t xml:space="preserve">EVENTUALES </t>
  </si>
  <si>
    <t xml:space="preserve">SUBTOTAL </t>
  </si>
  <si>
    <t xml:space="preserve">AUMENTO </t>
  </si>
  <si>
    <t xml:space="preserve">AUX GENERAL </t>
  </si>
  <si>
    <t xml:space="preserve">SUELDO NETO </t>
  </si>
  <si>
    <t>AUMENTO 4%</t>
  </si>
  <si>
    <t>Rojas</t>
  </si>
  <si>
    <t>Isela</t>
  </si>
  <si>
    <t>Gabriel</t>
  </si>
  <si>
    <t>Ramona Esmeralda</t>
  </si>
  <si>
    <t>Esthela Jazmin</t>
  </si>
  <si>
    <t>LEANDRO</t>
  </si>
  <si>
    <t>AUX. DE INT PLAZA DE LAS CIENEGAS</t>
  </si>
  <si>
    <t>ALTA -        15/02/2021</t>
  </si>
  <si>
    <t xml:space="preserve">IVETTE CARRILLO LOERA </t>
  </si>
  <si>
    <t>GUILLERMO RAMON CORONA PALACIOS</t>
  </si>
  <si>
    <t>HIRAM ANGUIANO GARAY</t>
  </si>
  <si>
    <t>AUXILIAR DE OBRAS PUBLICAS</t>
  </si>
  <si>
    <t>David Alejandro</t>
  </si>
  <si>
    <t>Encargado</t>
  </si>
  <si>
    <t>Loza</t>
  </si>
  <si>
    <t xml:space="preserve">Ariadna Jetzabel </t>
  </si>
  <si>
    <t>Zuñiga</t>
  </si>
  <si>
    <t>Jaaziel</t>
  </si>
  <si>
    <t>Instructora de Pintura Hostotipaquillo y Santo Tomas</t>
  </si>
  <si>
    <t>MARIA ROSAURA BECERRA OLMEDO</t>
  </si>
  <si>
    <t>HORACIO PIZ MENDOZA</t>
  </si>
  <si>
    <t>Mtra. MARIA ROSAURA BECERRA OLMEDO</t>
  </si>
  <si>
    <t xml:space="preserve">   VISTO BUENO</t>
  </si>
  <si>
    <t>LIZBETH VERARIT MARTINEZ CARRILLO</t>
  </si>
  <si>
    <t>51</t>
  </si>
  <si>
    <t xml:space="preserve">Juan  Manuel </t>
  </si>
  <si>
    <t>Departamento 21 Desarrollo Rural</t>
  </si>
  <si>
    <t>Departamento 22 Transparencia</t>
  </si>
  <si>
    <t>Departamento 23 Contraloria</t>
  </si>
  <si>
    <t>Departamento 24 Promocion Economica</t>
  </si>
  <si>
    <t>DESCUENTO EN NOMINA</t>
  </si>
  <si>
    <t>MARIA DEL REFUGIO REYES AGUIRRE</t>
  </si>
  <si>
    <t>|</t>
  </si>
  <si>
    <t xml:space="preserve">J. JUAN ARMAS ARMAS </t>
  </si>
  <si>
    <t>SUPERVISOR DE OBRAS</t>
  </si>
  <si>
    <t xml:space="preserve">AUXILIAR DE OBRAS </t>
  </si>
  <si>
    <t>VIRIDIANA SANCHEZ PALACIOS</t>
  </si>
  <si>
    <t>MONAY</t>
  </si>
  <si>
    <t>AVALOS</t>
  </si>
  <si>
    <t>RAUL</t>
  </si>
  <si>
    <t>ENCARGADO DE PANTEON DE LA COMUNIDAD DEL SAUCILLO</t>
  </si>
  <si>
    <t>ALTA -        15/05/2021</t>
  </si>
  <si>
    <t>PRESIDENTE MUNICIPAL ( Interino )</t>
  </si>
  <si>
    <t>C. JUAN ZENON TORRES CARRILLO</t>
  </si>
  <si>
    <t xml:space="preserve">C. ELPIDIO MACIAS GALINDO </t>
  </si>
  <si>
    <t>C.AMALIA CALDERA MARTINEZ</t>
  </si>
  <si>
    <t xml:space="preserve">JUAN CARLOS ARELLANO LUNA </t>
  </si>
  <si>
    <t xml:space="preserve">AUX. GENERAL </t>
  </si>
  <si>
    <t>NOMINA DE REGIDORES DEL 01 AL 15  DE JUNIO 2021</t>
  </si>
  <si>
    <t>NOMINA PERSONAL PERMANENTE DEL 01  AL 15 DE JUNIO 2021</t>
  </si>
  <si>
    <t>NOMINA PERSONAL PERMANENTE DE 01  AL 15 DE JUNIO    2021</t>
  </si>
  <si>
    <t>NOMINA PERSONAL PERMANENTE DEL 01 AL 15 JUNIO   2021</t>
  </si>
  <si>
    <t>NOMINA PERSONAL PERMANENTE DEL 01 AL 15 DE JUNIO   2021</t>
  </si>
  <si>
    <t>NOMINA PERSONAL PERMANENTE DEL  01 AL 15 DE JUNIO DE   2021</t>
  </si>
  <si>
    <t>NOMINA PERSONAL PERMANENTE DEL 01 AL 15 DE JUNIO  2021</t>
  </si>
  <si>
    <t>NOMINA PERSONAL PERMANENTE DEL 01 AL 15  DE JUNIO  2021</t>
  </si>
  <si>
    <t>NOMINA  DEL 01 AL 15 DE JUNIO  2021</t>
  </si>
  <si>
    <t>NOMINA DEL 01  AL 15 DE JUNIO  DE 2021</t>
  </si>
  <si>
    <t>NOMINA DEL 01  AL 15 DE JUNIO DEL 2021</t>
  </si>
  <si>
    <t>NOMINA DE PENSIONADOS DEL 01 AL 15  DE JUNIO   2021</t>
  </si>
  <si>
    <t xml:space="preserve">                DEL 01 AL 15 DE JUNIO DEL 2021</t>
  </si>
  <si>
    <t>PAGO DEL MES DE JUNIO 2021</t>
  </si>
  <si>
    <t>H. Ayuntamiento de Hostotipaquillo Jal 2018-2021 Nomina Correspondiente al mes de Junio  2021</t>
  </si>
  <si>
    <t>NAVARRO</t>
  </si>
  <si>
    <t>MARIBEL</t>
  </si>
  <si>
    <t xml:space="preserve">ANGEL DE JESUS CERVANTES RODRIGUEZ </t>
  </si>
  <si>
    <t>AUX GENERAL</t>
  </si>
  <si>
    <t>CARLOS ARTURO MORALES MARQUEZ</t>
  </si>
  <si>
    <t xml:space="preserve">MARTIN MERCADO AVILA </t>
  </si>
  <si>
    <t xml:space="preserve">AUX. EN DEPARTAMENTO DE OBRAS </t>
  </si>
  <si>
    <t>SANDRA MARTINEZ CASTAÑEDA</t>
  </si>
  <si>
    <t xml:space="preserve">AUX. DE OFICIALIA MAYOR </t>
  </si>
  <si>
    <t>MONROY</t>
  </si>
  <si>
    <t>COVARRUBIAS</t>
  </si>
  <si>
    <t>YOLANDA</t>
  </si>
  <si>
    <t>LARA</t>
  </si>
  <si>
    <t>AMALIA</t>
  </si>
  <si>
    <t xml:space="preserve">Acumulado Anual </t>
  </si>
  <si>
    <t>ACUMULADO ANUAL</t>
  </si>
  <si>
    <t xml:space="preserve">ACUMULADO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</si>
</sst>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96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i/>
      <sz val="12"/>
      <color rgb="FFAC193D"/>
      <name val="Calibri"/>
      <family val="2"/>
      <scheme val="minor"/>
    </font>
    <font>
      <sz val="8"/>
      <color rgb="FFFF0000"/>
      <name val="Arial"/>
      <family val="2"/>
    </font>
    <font>
      <b/>
      <sz val="8"/>
      <color theme="4" tint="0.79998168889431442"/>
      <name val="Arial"/>
      <family val="2"/>
    </font>
    <font>
      <b/>
      <i/>
      <sz val="9"/>
      <color theme="4" tint="0.79998168889431442"/>
      <name val="Arial"/>
      <family val="2"/>
    </font>
    <font>
      <b/>
      <sz val="9"/>
      <color theme="4" tint="0.79998168889431442"/>
      <name val="Cooper Black"/>
      <family val="1"/>
    </font>
    <font>
      <b/>
      <sz val="8"/>
      <color theme="4" tint="0.79998168889431442"/>
      <name val="Cooper Black"/>
      <family val="1"/>
    </font>
    <font>
      <b/>
      <sz val="9"/>
      <color theme="4" tint="0.79998168889431442"/>
      <name val="Arial Black"/>
      <family val="2"/>
    </font>
    <font>
      <b/>
      <sz val="9"/>
      <color theme="4" tint="0.79998168889431442"/>
      <name val="Arial"/>
      <family val="2"/>
    </font>
    <font>
      <b/>
      <i/>
      <sz val="9"/>
      <color theme="4" tint="0.79998168889431442"/>
      <name val="Arial Black"/>
      <family val="2"/>
    </font>
    <font>
      <b/>
      <sz val="8"/>
      <color theme="4" tint="0.79998168889431442"/>
      <name val="Arial Black"/>
      <family val="2"/>
    </font>
    <font>
      <b/>
      <i/>
      <sz val="8"/>
      <color theme="4" tint="0.79998168889431442"/>
      <name val="Arial Black"/>
      <family val="2"/>
    </font>
    <font>
      <sz val="10"/>
      <color theme="4" tint="0.79998168889431442"/>
      <name val="Aharoni"/>
      <charset val="177"/>
    </font>
    <font>
      <b/>
      <sz val="10"/>
      <color theme="4" tint="0.79998168889431442"/>
      <name val="Aharoni"/>
      <charset val="177"/>
    </font>
    <font>
      <sz val="11"/>
      <color theme="4" tint="0.79998168889431442"/>
      <name val="Calibri"/>
      <family val="2"/>
      <scheme val="minor"/>
    </font>
    <font>
      <sz val="14"/>
      <color theme="4" tint="0.79998168889431442"/>
      <name val="Arial"/>
      <family val="2"/>
    </font>
    <font>
      <b/>
      <sz val="8"/>
      <color theme="0" tint="-4.9989318521683403E-2"/>
      <name val="Arial"/>
      <family val="2"/>
    </font>
    <font>
      <b/>
      <sz val="8"/>
      <color theme="2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5658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9E9C"/>
        <bgColor indexed="64"/>
      </patternFill>
    </fill>
  </fills>
  <borders count="49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FD"/>
      </left>
      <right/>
      <top/>
      <bottom style="thin">
        <color indexed="64"/>
      </bottom>
      <diagonal/>
    </border>
    <border>
      <left style="thin">
        <color rgb="FF0000FD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FD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23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19" fillId="2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0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2" borderId="0" xfId="0" applyFont="1" applyFill="1" applyAlignment="1">
      <alignment vertical="center"/>
    </xf>
    <xf numFmtId="44" fontId="17" fillId="2" borderId="0" xfId="2" applyFont="1" applyFill="1" applyAlignment="1">
      <alignment vertical="center"/>
    </xf>
    <xf numFmtId="0" fontId="17" fillId="2" borderId="15" xfId="0" applyFont="1" applyFill="1" applyBorder="1" applyAlignment="1">
      <alignment vertical="center"/>
    </xf>
    <xf numFmtId="12" fontId="13" fillId="2" borderId="5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4" fontId="13" fillId="2" borderId="5" xfId="0" applyNumberFormat="1" applyFont="1" applyFill="1" applyBorder="1" applyAlignment="1">
      <alignment vertical="center"/>
    </xf>
    <xf numFmtId="44" fontId="13" fillId="2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2" borderId="9" xfId="2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2" borderId="8" xfId="1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44" fontId="20" fillId="0" borderId="5" xfId="0" applyNumberFormat="1" applyFont="1" applyBorder="1" applyAlignment="1">
      <alignment vertical="center"/>
    </xf>
    <xf numFmtId="12" fontId="13" fillId="2" borderId="7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4" fontId="13" fillId="2" borderId="7" xfId="0" applyNumberFormat="1" applyFont="1" applyFill="1" applyBorder="1" applyAlignment="1">
      <alignment vertical="center"/>
    </xf>
    <xf numFmtId="44" fontId="20" fillId="2" borderId="7" xfId="2" applyFont="1" applyFill="1" applyBorder="1" applyAlignment="1">
      <alignment vertical="center"/>
    </xf>
    <xf numFmtId="44" fontId="13" fillId="2" borderId="7" xfId="2" applyFont="1" applyFill="1" applyBorder="1" applyAlignment="1">
      <alignment vertical="center"/>
    </xf>
    <xf numFmtId="43" fontId="13" fillId="2" borderId="5" xfId="0" applyNumberFormat="1" applyFont="1" applyFill="1" applyBorder="1" applyAlignment="1">
      <alignment vertical="center"/>
    </xf>
    <xf numFmtId="44" fontId="20" fillId="2" borderId="5" xfId="0" applyNumberFormat="1" applyFont="1" applyFill="1" applyBorder="1" applyAlignment="1">
      <alignment vertical="center"/>
    </xf>
    <xf numFmtId="43" fontId="13" fillId="2" borderId="7" xfId="0" applyNumberFormat="1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4" fontId="21" fillId="2" borderId="0" xfId="2" applyFont="1" applyFill="1" applyAlignment="1">
      <alignment horizontal="center" vertical="center"/>
    </xf>
    <xf numFmtId="44" fontId="17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44" fontId="23" fillId="2" borderId="0" xfId="2" applyFont="1" applyFill="1" applyBorder="1" applyAlignment="1">
      <alignment vertical="center"/>
    </xf>
    <xf numFmtId="44" fontId="10" fillId="2" borderId="0" xfId="2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40" fillId="0" borderId="13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1" fillId="0" borderId="8" xfId="0" applyNumberFormat="1" applyFont="1" applyBorder="1" applyAlignment="1">
      <alignment vertical="center"/>
    </xf>
    <xf numFmtId="4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2" fontId="41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8" fillId="2" borderId="0" xfId="0" applyNumberFormat="1" applyFont="1" applyFill="1" applyAlignment="1">
      <alignment vertical="center"/>
    </xf>
    <xf numFmtId="44" fontId="42" fillId="0" borderId="0" xfId="2" applyFont="1" applyFill="1" applyBorder="1" applyAlignment="1">
      <alignment vertical="center"/>
    </xf>
    <xf numFmtId="44" fontId="42" fillId="0" borderId="0" xfId="0" applyNumberFormat="1" applyFont="1" applyAlignment="1">
      <alignment horizontal="center" vertical="center"/>
    </xf>
    <xf numFmtId="44" fontId="40" fillId="0" borderId="0" xfId="2" applyFont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7" fillId="0" borderId="0" xfId="0" applyFont="1" applyAlignment="1">
      <alignment vertical="center"/>
    </xf>
    <xf numFmtId="44" fontId="31" fillId="0" borderId="0" xfId="2" applyFont="1" applyAlignment="1">
      <alignment vertical="center"/>
    </xf>
    <xf numFmtId="0" fontId="31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8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3" borderId="0" xfId="2" applyFont="1" applyFill="1" applyAlignment="1">
      <alignment vertical="center"/>
    </xf>
    <xf numFmtId="44" fontId="0" fillId="2" borderId="0" xfId="2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6" borderId="0" xfId="0" applyNumberForma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0" fillId="3" borderId="0" xfId="2" applyFont="1" applyFill="1"/>
    <xf numFmtId="44" fontId="14" fillId="2" borderId="5" xfId="2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8" fillId="0" borderId="5" xfId="0" applyFont="1" applyBorder="1"/>
    <xf numFmtId="0" fontId="48" fillId="0" borderId="7" xfId="0" applyFont="1" applyBorder="1"/>
    <xf numFmtId="0" fontId="50" fillId="2" borderId="0" xfId="0" applyFont="1" applyFill="1" applyAlignment="1">
      <alignment horizontal="center"/>
    </xf>
    <xf numFmtId="44" fontId="40" fillId="3" borderId="0" xfId="0" applyNumberFormat="1" applyFont="1" applyFill="1" applyAlignment="1">
      <alignment vertical="center"/>
    </xf>
    <xf numFmtId="0" fontId="25" fillId="0" borderId="0" xfId="0" applyFont="1"/>
    <xf numFmtId="0" fontId="26" fillId="0" borderId="0" xfId="0" applyFont="1"/>
    <xf numFmtId="44" fontId="26" fillId="0" borderId="0" xfId="2" applyFont="1" applyAlignment="1"/>
    <xf numFmtId="0" fontId="28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0" fillId="0" borderId="3" xfId="0" applyFont="1" applyBorder="1"/>
    <xf numFmtId="44" fontId="30" fillId="0" borderId="9" xfId="2" applyFont="1" applyBorder="1" applyAlignment="1">
      <alignment horizontal="center"/>
    </xf>
    <xf numFmtId="0" fontId="10" fillId="0" borderId="10" xfId="0" applyFont="1" applyBorder="1"/>
    <xf numFmtId="0" fontId="30" fillId="0" borderId="10" xfId="0" applyFont="1" applyBorder="1"/>
    <xf numFmtId="0" fontId="37" fillId="0" borderId="0" xfId="0" applyFont="1"/>
    <xf numFmtId="0" fontId="31" fillId="0" borderId="0" xfId="0" applyFont="1"/>
    <xf numFmtId="44" fontId="31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5" fillId="0" borderId="5" xfId="0" applyFont="1" applyBorder="1"/>
    <xf numFmtId="0" fontId="56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5" fillId="0" borderId="0" xfId="0" applyFont="1"/>
    <xf numFmtId="0" fontId="56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0" fontId="1" fillId="0" borderId="3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4" borderId="5" xfId="2" applyFont="1" applyFill="1" applyBorder="1"/>
    <xf numFmtId="44" fontId="0" fillId="4" borderId="0" xfId="0" applyNumberFormat="1" applyFill="1"/>
    <xf numFmtId="0" fontId="0" fillId="7" borderId="5" xfId="0" applyFill="1" applyBorder="1"/>
    <xf numFmtId="8" fontId="0" fillId="0" borderId="0" xfId="2" applyNumberFormat="1" applyFont="1" applyBorder="1"/>
    <xf numFmtId="44" fontId="0" fillId="4" borderId="0" xfId="2" applyFont="1" applyFill="1" applyBorder="1"/>
    <xf numFmtId="44" fontId="58" fillId="0" borderId="0" xfId="0" applyNumberFormat="1" applyFont="1"/>
    <xf numFmtId="0" fontId="58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8" borderId="17" xfId="0" applyNumberFormat="1" applyFill="1" applyBorder="1"/>
    <xf numFmtId="0" fontId="58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59" fillId="0" borderId="0" xfId="0" applyFont="1" applyAlignment="1">
      <alignment horizontal="center"/>
    </xf>
    <xf numFmtId="0" fontId="59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43" fontId="0" fillId="2" borderId="0" xfId="1" applyFont="1" applyFill="1" applyBorder="1"/>
    <xf numFmtId="0" fontId="0" fillId="0" borderId="6" xfId="0" applyBorder="1"/>
    <xf numFmtId="44" fontId="0" fillId="2" borderId="6" xfId="1" applyNumberFormat="1" applyFont="1" applyFill="1" applyBorder="1"/>
    <xf numFmtId="0" fontId="58" fillId="0" borderId="0" xfId="0" applyFont="1" applyAlignment="1">
      <alignment horizontal="center"/>
    </xf>
    <xf numFmtId="43" fontId="0" fillId="0" borderId="0" xfId="0" applyNumberFormat="1"/>
    <xf numFmtId="0" fontId="51" fillId="0" borderId="0" xfId="0" applyFont="1" applyAlignment="1">
      <alignment horizontal="center"/>
    </xf>
    <xf numFmtId="0" fontId="48" fillId="0" borderId="5" xfId="0" applyFont="1" applyBorder="1" applyAlignment="1">
      <alignment horizontal="center"/>
    </xf>
    <xf numFmtId="44" fontId="0" fillId="9" borderId="5" xfId="2" applyFont="1" applyFill="1" applyBorder="1"/>
    <xf numFmtId="0" fontId="1" fillId="0" borderId="5" xfId="0" applyFont="1" applyBorder="1"/>
    <xf numFmtId="0" fontId="21" fillId="0" borderId="4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4" fontId="10" fillId="3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4" fontId="40" fillId="0" borderId="0" xfId="0" applyNumberFormat="1" applyFont="1" applyAlignment="1">
      <alignment vertical="center"/>
    </xf>
    <xf numFmtId="43" fontId="15" fillId="0" borderId="31" xfId="1" applyFont="1" applyBorder="1"/>
    <xf numFmtId="0" fontId="13" fillId="2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2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9" xfId="0" applyBorder="1"/>
    <xf numFmtId="0" fontId="0" fillId="0" borderId="2" xfId="0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43" fontId="0" fillId="0" borderId="5" xfId="1" applyFont="1" applyBorder="1"/>
    <xf numFmtId="43" fontId="59" fillId="0" borderId="0" xfId="1" applyFont="1"/>
    <xf numFmtId="43" fontId="0" fillId="0" borderId="5" xfId="1" applyFont="1" applyFill="1" applyBorder="1"/>
    <xf numFmtId="43" fontId="0" fillId="0" borderId="0" xfId="1" applyFont="1" applyBorder="1"/>
    <xf numFmtId="43" fontId="0" fillId="0" borderId="6" xfId="1" applyFont="1" applyBorder="1"/>
    <xf numFmtId="44" fontId="1" fillId="2" borderId="7" xfId="2" applyFont="1" applyFill="1" applyBorder="1" applyAlignment="1">
      <alignment vertical="center"/>
    </xf>
    <xf numFmtId="165" fontId="0" fillId="0" borderId="0" xfId="0" applyNumberFormat="1"/>
    <xf numFmtId="0" fontId="61" fillId="2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1" borderId="14" xfId="0" applyNumberFormat="1" applyFont="1" applyFill="1" applyBorder="1"/>
    <xf numFmtId="0" fontId="10" fillId="0" borderId="5" xfId="0" applyFont="1" applyBorder="1"/>
    <xf numFmtId="0" fontId="35" fillId="0" borderId="5" xfId="0" applyFont="1" applyBorder="1"/>
    <xf numFmtId="0" fontId="34" fillId="0" borderId="5" xfId="0" applyFont="1" applyBorder="1"/>
    <xf numFmtId="0" fontId="35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3" borderId="17" xfId="0" applyNumberFormat="1" applyFont="1" applyFill="1" applyBorder="1"/>
    <xf numFmtId="44" fontId="15" fillId="3" borderId="24" xfId="0" applyNumberFormat="1" applyFont="1" applyFill="1" applyBorder="1"/>
    <xf numFmtId="44" fontId="14" fillId="11" borderId="9" xfId="0" applyNumberFormat="1" applyFont="1" applyFill="1" applyBorder="1"/>
    <xf numFmtId="44" fontId="14" fillId="11" borderId="13" xfId="0" applyNumberFormat="1" applyFont="1" applyFill="1" applyBorder="1"/>
    <xf numFmtId="0" fontId="26" fillId="0" borderId="19" xfId="0" applyFont="1" applyBorder="1"/>
    <xf numFmtId="0" fontId="1" fillId="0" borderId="0" xfId="0" applyFont="1" applyAlignment="1">
      <alignment vertical="center" wrapText="1"/>
    </xf>
    <xf numFmtId="164" fontId="38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wrapText="1"/>
    </xf>
    <xf numFmtId="2" fontId="31" fillId="0" borderId="5" xfId="0" applyNumberFormat="1" applyFont="1" applyBorder="1" applyAlignment="1">
      <alignment vertical="center"/>
    </xf>
    <xf numFmtId="44" fontId="0" fillId="12" borderId="0" xfId="0" applyNumberFormat="1" applyFill="1"/>
    <xf numFmtId="43" fontId="0" fillId="0" borderId="34" xfId="0" applyNumberFormat="1" applyBorder="1"/>
    <xf numFmtId="43" fontId="0" fillId="4" borderId="0" xfId="1" applyFont="1" applyFill="1"/>
    <xf numFmtId="43" fontId="62" fillId="0" borderId="5" xfId="1" applyFont="1" applyBorder="1" applyAlignment="1">
      <alignment horizontal="left" vertical="center"/>
    </xf>
    <xf numFmtId="43" fontId="63" fillId="0" borderId="5" xfId="1" applyFont="1" applyFill="1" applyBorder="1" applyAlignment="1">
      <alignment vertical="center"/>
    </xf>
    <xf numFmtId="43" fontId="63" fillId="0" borderId="5" xfId="1" applyFont="1" applyFill="1" applyBorder="1" applyAlignment="1">
      <alignment horizontal="center" vertical="center"/>
    </xf>
    <xf numFmtId="43" fontId="62" fillId="0" borderId="0" xfId="1" applyFont="1" applyBorder="1" applyAlignment="1">
      <alignment horizontal="left" vertical="center"/>
    </xf>
    <xf numFmtId="43" fontId="63" fillId="0" borderId="6" xfId="1" applyFont="1" applyFill="1" applyBorder="1" applyAlignment="1">
      <alignment horizontal="right" vertical="center"/>
    </xf>
    <xf numFmtId="43" fontId="63" fillId="0" borderId="0" xfId="1" applyFont="1" applyFill="1" applyBorder="1" applyAlignment="1">
      <alignment vertical="center"/>
    </xf>
    <xf numFmtId="43" fontId="63" fillId="0" borderId="0" xfId="1" applyFont="1" applyFill="1" applyAlignment="1">
      <alignment vertical="center"/>
    </xf>
    <xf numFmtId="43" fontId="63" fillId="0" borderId="4" xfId="1" applyFont="1" applyFill="1" applyBorder="1" applyAlignment="1">
      <alignment vertical="center"/>
    </xf>
    <xf numFmtId="43" fontId="63" fillId="0" borderId="6" xfId="1" applyFont="1" applyBorder="1" applyAlignment="1">
      <alignment horizontal="right" vertical="center"/>
    </xf>
    <xf numFmtId="43" fontId="63" fillId="0" borderId="0" xfId="1" applyFont="1" applyAlignment="1">
      <alignment vertical="center"/>
    </xf>
    <xf numFmtId="43" fontId="63" fillId="0" borderId="0" xfId="1" applyFont="1" applyBorder="1" applyAlignment="1">
      <alignment vertical="center"/>
    </xf>
    <xf numFmtId="43" fontId="63" fillId="0" borderId="5" xfId="1" applyFont="1" applyBorder="1" applyAlignment="1">
      <alignment horizontal="center" vertical="center"/>
    </xf>
    <xf numFmtId="43" fontId="63" fillId="0" borderId="0" xfId="1" applyFont="1" applyFill="1" applyBorder="1" applyAlignment="1">
      <alignment horizontal="center" vertical="center" wrapText="1"/>
    </xf>
    <xf numFmtId="43" fontId="63" fillId="0" borderId="5" xfId="1" applyFont="1" applyFill="1" applyBorder="1" applyAlignment="1">
      <alignment horizontal="center"/>
    </xf>
    <xf numFmtId="43" fontId="64" fillId="0" borderId="0" xfId="1" applyFont="1" applyFill="1" applyBorder="1"/>
    <xf numFmtId="43" fontId="65" fillId="0" borderId="0" xfId="1" applyFont="1" applyBorder="1" applyAlignment="1">
      <alignment horizontal="center" vertical="center"/>
    </xf>
    <xf numFmtId="43" fontId="63" fillId="0" borderId="4" xfId="1" applyFont="1" applyBorder="1" applyAlignment="1">
      <alignment horizontal="center" vertical="center"/>
    </xf>
    <xf numFmtId="43" fontId="66" fillId="0" borderId="5" xfId="1" applyFont="1" applyFill="1" applyBorder="1" applyAlignment="1">
      <alignment vertical="center"/>
    </xf>
    <xf numFmtId="43" fontId="66" fillId="2" borderId="5" xfId="1" applyFont="1" applyFill="1" applyBorder="1" applyAlignment="1">
      <alignment vertical="center"/>
    </xf>
    <xf numFmtId="43" fontId="66" fillId="0" borderId="7" xfId="1" applyFont="1" applyFill="1" applyBorder="1" applyAlignment="1">
      <alignment vertical="center"/>
    </xf>
    <xf numFmtId="43" fontId="67" fillId="0" borderId="5" xfId="1" applyFont="1" applyFill="1" applyBorder="1" applyAlignment="1">
      <alignment vertical="center"/>
    </xf>
    <xf numFmtId="43" fontId="68" fillId="0" borderId="0" xfId="1" applyFont="1" applyBorder="1" applyAlignment="1">
      <alignment vertical="center"/>
    </xf>
    <xf numFmtId="43" fontId="68" fillId="0" borderId="4" xfId="1" applyFont="1" applyBorder="1" applyAlignment="1">
      <alignment vertical="center"/>
    </xf>
    <xf numFmtId="43" fontId="69" fillId="0" borderId="0" xfId="1" applyFont="1" applyAlignment="1">
      <alignment vertical="center"/>
    </xf>
    <xf numFmtId="43" fontId="70" fillId="0" borderId="0" xfId="1" applyFont="1" applyAlignment="1">
      <alignment horizontal="center" vertical="center"/>
    </xf>
    <xf numFmtId="43" fontId="68" fillId="0" borderId="0" xfId="1" applyFont="1" applyAlignment="1">
      <alignment vertical="center"/>
    </xf>
    <xf numFmtId="43" fontId="66" fillId="0" borderId="5" xfId="1" applyFont="1" applyBorder="1" applyAlignment="1">
      <alignment vertical="center"/>
    </xf>
    <xf numFmtId="43" fontId="66" fillId="0" borderId="7" xfId="1" applyFont="1" applyBorder="1" applyAlignment="1">
      <alignment vertical="center"/>
    </xf>
    <xf numFmtId="43" fontId="68" fillId="0" borderId="5" xfId="1" applyFont="1" applyBorder="1" applyAlignment="1">
      <alignment vertical="center"/>
    </xf>
    <xf numFmtId="43" fontId="71" fillId="0" borderId="0" xfId="1" applyFont="1" applyBorder="1" applyAlignment="1">
      <alignment horizontal="center" vertical="center"/>
    </xf>
    <xf numFmtId="43" fontId="62" fillId="0" borderId="0" xfId="1" applyFont="1" applyBorder="1" applyAlignment="1">
      <alignment vertical="center"/>
    </xf>
    <xf numFmtId="0" fontId="72" fillId="0" borderId="2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4" xfId="0" applyFont="1" applyBorder="1" applyAlignment="1">
      <alignment vertical="center"/>
    </xf>
    <xf numFmtId="0" fontId="72" fillId="2" borderId="0" xfId="0" applyFont="1" applyFill="1" applyAlignment="1">
      <alignment vertical="center"/>
    </xf>
    <xf numFmtId="44" fontId="67" fillId="2" borderId="5" xfId="0" applyNumberFormat="1" applyFont="1" applyFill="1" applyBorder="1" applyAlignment="1">
      <alignment vertical="center"/>
    </xf>
    <xf numFmtId="44" fontId="67" fillId="0" borderId="5" xfId="0" applyNumberFormat="1" applyFont="1" applyBorder="1" applyAlignment="1">
      <alignment vertical="center"/>
    </xf>
    <xf numFmtId="44" fontId="67" fillId="2" borderId="7" xfId="0" applyNumberFormat="1" applyFont="1" applyFill="1" applyBorder="1" applyAlignment="1">
      <alignment vertical="center"/>
    </xf>
    <xf numFmtId="43" fontId="67" fillId="2" borderId="5" xfId="0" applyNumberFormat="1" applyFont="1" applyFill="1" applyBorder="1" applyAlignment="1">
      <alignment vertical="center"/>
    </xf>
    <xf numFmtId="43" fontId="67" fillId="2" borderId="7" xfId="0" applyNumberFormat="1" applyFont="1" applyFill="1" applyBorder="1" applyAlignment="1">
      <alignment vertical="center"/>
    </xf>
    <xf numFmtId="0" fontId="71" fillId="2" borderId="0" xfId="0" applyFont="1" applyFill="1" applyAlignment="1">
      <alignment horizontal="center" vertical="center"/>
    </xf>
    <xf numFmtId="43" fontId="73" fillId="0" borderId="0" xfId="1" applyFont="1"/>
    <xf numFmtId="43" fontId="74" fillId="0" borderId="0" xfId="1" applyFont="1"/>
    <xf numFmtId="43" fontId="73" fillId="0" borderId="5" xfId="1" applyFont="1" applyBorder="1"/>
    <xf numFmtId="43" fontId="73" fillId="0" borderId="5" xfId="1" applyFont="1" applyFill="1" applyBorder="1"/>
    <xf numFmtId="43" fontId="73" fillId="0" borderId="0" xfId="1" applyFont="1" applyBorder="1"/>
    <xf numFmtId="43" fontId="73" fillId="0" borderId="6" xfId="1" applyFont="1" applyBorder="1"/>
    <xf numFmtId="0" fontId="13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 vertical="center"/>
    </xf>
    <xf numFmtId="49" fontId="38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vertical="center"/>
    </xf>
    <xf numFmtId="164" fontId="38" fillId="0" borderId="9" xfId="0" applyNumberFormat="1" applyFont="1" applyBorder="1" applyAlignment="1">
      <alignment vertical="center"/>
    </xf>
    <xf numFmtId="0" fontId="7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/>
    <xf numFmtId="12" fontId="13" fillId="0" borderId="0" xfId="0" applyNumberFormat="1" applyFont="1" applyAlignment="1">
      <alignment horizontal="left"/>
    </xf>
    <xf numFmtId="43" fontId="15" fillId="5" borderId="0" xfId="1" applyFont="1" applyFill="1" applyBorder="1"/>
    <xf numFmtId="44" fontId="14" fillId="0" borderId="0" xfId="2" applyFont="1" applyBorder="1"/>
    <xf numFmtId="0" fontId="13" fillId="2" borderId="43" xfId="0" applyFont="1" applyFill="1" applyBorder="1"/>
    <xf numFmtId="0" fontId="13" fillId="0" borderId="43" xfId="0" applyFont="1" applyBorder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/>
    </xf>
    <xf numFmtId="44" fontId="14" fillId="2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2" borderId="43" xfId="2" applyFont="1" applyFill="1" applyBorder="1"/>
    <xf numFmtId="44" fontId="15" fillId="5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3" borderId="44" xfId="0" applyNumberFormat="1" applyFont="1" applyFill="1" applyBorder="1"/>
    <xf numFmtId="44" fontId="15" fillId="3" borderId="6" xfId="0" applyNumberFormat="1" applyFont="1" applyFill="1" applyBorder="1"/>
    <xf numFmtId="43" fontId="1" fillId="0" borderId="5" xfId="1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27" fillId="13" borderId="5" xfId="0" applyFont="1" applyFill="1" applyBorder="1" applyAlignment="1">
      <alignment horizontal="center"/>
    </xf>
    <xf numFmtId="0" fontId="27" fillId="13" borderId="7" xfId="0" applyFont="1" applyFill="1" applyBorder="1" applyAlignment="1">
      <alignment horizontal="center"/>
    </xf>
    <xf numFmtId="0" fontId="54" fillId="13" borderId="8" xfId="0" applyFont="1" applyFill="1" applyBorder="1" applyAlignment="1">
      <alignment horizontal="center"/>
    </xf>
    <xf numFmtId="0" fontId="32" fillId="13" borderId="19" xfId="0" applyFont="1" applyFill="1" applyBorder="1"/>
    <xf numFmtId="0" fontId="32" fillId="13" borderId="8" xfId="0" applyFont="1" applyFill="1" applyBorder="1"/>
    <xf numFmtId="0" fontId="36" fillId="13" borderId="14" xfId="0" applyFont="1" applyFill="1" applyBorder="1"/>
    <xf numFmtId="0" fontId="32" fillId="13" borderId="4" xfId="0" applyFont="1" applyFill="1" applyBorder="1"/>
    <xf numFmtId="0" fontId="32" fillId="13" borderId="19" xfId="0" applyFont="1" applyFill="1" applyBorder="1" applyAlignment="1">
      <alignment horizontal="center"/>
    </xf>
    <xf numFmtId="0" fontId="60" fillId="13" borderId="8" xfId="0" applyFont="1" applyFill="1" applyBorder="1" applyAlignment="1">
      <alignment horizontal="center"/>
    </xf>
    <xf numFmtId="44" fontId="32" fillId="13" borderId="14" xfId="2" applyFont="1" applyFill="1" applyBorder="1"/>
    <xf numFmtId="0" fontId="32" fillId="13" borderId="3" xfId="0" applyFont="1" applyFill="1" applyBorder="1"/>
    <xf numFmtId="0" fontId="32" fillId="13" borderId="10" xfId="0" applyFont="1" applyFill="1" applyBorder="1" applyAlignment="1">
      <alignment horizontal="center"/>
    </xf>
    <xf numFmtId="0" fontId="60" fillId="13" borderId="5" xfId="0" applyFont="1" applyFill="1" applyBorder="1" applyAlignment="1">
      <alignment horizontal="center"/>
    </xf>
    <xf numFmtId="44" fontId="32" fillId="13" borderId="9" xfId="2" applyFont="1" applyFill="1" applyBorder="1" applyAlignment="1"/>
    <xf numFmtId="0" fontId="30" fillId="13" borderId="10" xfId="0" applyFont="1" applyFill="1" applyBorder="1"/>
    <xf numFmtId="0" fontId="13" fillId="0" borderId="5" xfId="0" applyFont="1" applyBorder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4" fontId="14" fillId="0" borderId="7" xfId="2" applyFont="1" applyBorder="1"/>
    <xf numFmtId="43" fontId="73" fillId="2" borderId="5" xfId="1" applyFont="1" applyFill="1" applyBorder="1"/>
    <xf numFmtId="43" fontId="0" fillId="2" borderId="5" xfId="1" applyFont="1" applyFill="1" applyBorder="1"/>
    <xf numFmtId="44" fontId="0" fillId="2" borderId="5" xfId="1" applyNumberFormat="1" applyFont="1" applyFill="1" applyBorder="1"/>
    <xf numFmtId="44" fontId="0" fillId="10" borderId="5" xfId="0" applyNumberFormat="1" applyFill="1" applyBorder="1"/>
    <xf numFmtId="44" fontId="0" fillId="4" borderId="5" xfId="0" applyNumberFormat="1" applyFill="1" applyBorder="1"/>
    <xf numFmtId="0" fontId="76" fillId="14" borderId="0" xfId="0" applyFont="1" applyFill="1" applyAlignment="1">
      <alignment vertical="center"/>
    </xf>
    <xf numFmtId="44" fontId="38" fillId="0" borderId="5" xfId="2" applyFont="1" applyFill="1" applyBorder="1" applyAlignment="1">
      <alignment vertical="center"/>
    </xf>
    <xf numFmtId="0" fontId="33" fillId="13" borderId="9" xfId="0" applyFont="1" applyFill="1" applyBorder="1"/>
    <xf numFmtId="164" fontId="1" fillId="0" borderId="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164" fontId="38" fillId="0" borderId="0" xfId="0" applyNumberFormat="1" applyFont="1" applyAlignment="1">
      <alignment vertical="center"/>
    </xf>
    <xf numFmtId="164" fontId="38" fillId="15" borderId="5" xfId="0" applyNumberFormat="1" applyFont="1" applyFill="1" applyBorder="1" applyAlignment="1">
      <alignment vertical="center"/>
    </xf>
    <xf numFmtId="164" fontId="1" fillId="15" borderId="5" xfId="0" applyNumberFormat="1" applyFont="1" applyFill="1" applyBorder="1" applyAlignment="1">
      <alignment vertical="center"/>
    </xf>
    <xf numFmtId="164" fontId="1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164" fontId="1" fillId="0" borderId="5" xfId="0" applyNumberFormat="1" applyFont="1" applyBorder="1" applyAlignment="1">
      <alignment horizontal="center" vertical="center" wrapText="1"/>
    </xf>
    <xf numFmtId="44" fontId="0" fillId="0" borderId="5" xfId="0" applyNumberFormat="1" applyBorder="1"/>
    <xf numFmtId="44" fontId="0" fillId="3" borderId="5" xfId="0" applyNumberFormat="1" applyFill="1" applyBorder="1"/>
    <xf numFmtId="0" fontId="0" fillId="0" borderId="5" xfId="0" applyBorder="1" applyAlignment="1">
      <alignment horizontal="center" wrapText="1"/>
    </xf>
    <xf numFmtId="9" fontId="0" fillId="0" borderId="5" xfId="0" applyNumberFormat="1" applyBorder="1" applyAlignment="1">
      <alignment horizontal="center" wrapText="1"/>
    </xf>
    <xf numFmtId="0" fontId="77" fillId="0" borderId="0" xfId="0" applyFont="1"/>
    <xf numFmtId="164" fontId="78" fillId="0" borderId="5" xfId="0" applyNumberFormat="1" applyFont="1" applyBorder="1" applyAlignment="1">
      <alignment horizontal="right" vertical="center"/>
    </xf>
    <xf numFmtId="44" fontId="20" fillId="0" borderId="5" xfId="2" applyFont="1" applyFill="1" applyBorder="1" applyAlignment="1">
      <alignment vertical="center"/>
    </xf>
    <xf numFmtId="44" fontId="20" fillId="0" borderId="7" xfId="2" applyFont="1" applyFill="1" applyBorder="1" applyAlignment="1">
      <alignment vertical="center"/>
    </xf>
    <xf numFmtId="0" fontId="79" fillId="16" borderId="28" xfId="0" applyFont="1" applyFill="1" applyBorder="1" applyAlignment="1">
      <alignment horizontal="center" vertical="center" wrapText="1"/>
    </xf>
    <xf numFmtId="0" fontId="79" fillId="16" borderId="29" xfId="0" applyFont="1" applyFill="1" applyBorder="1" applyAlignment="1">
      <alignment horizontal="center" vertical="center" wrapText="1"/>
    </xf>
    <xf numFmtId="0" fontId="79" fillId="16" borderId="5" xfId="0" applyFont="1" applyFill="1" applyBorder="1" applyAlignment="1">
      <alignment horizontal="center" vertical="center" wrapText="1"/>
    </xf>
    <xf numFmtId="43" fontId="79" fillId="16" borderId="5" xfId="1" applyFont="1" applyFill="1" applyBorder="1" applyAlignment="1">
      <alignment horizontal="center" vertical="center" wrapText="1"/>
    </xf>
    <xf numFmtId="0" fontId="79" fillId="16" borderId="1" xfId="0" applyFont="1" applyFill="1" applyBorder="1" applyAlignment="1">
      <alignment horizontal="center" vertical="center" wrapText="1"/>
    </xf>
    <xf numFmtId="43" fontId="79" fillId="16" borderId="1" xfId="1" applyFont="1" applyFill="1" applyBorder="1" applyAlignment="1">
      <alignment horizontal="center" vertical="center" wrapText="1"/>
    </xf>
    <xf numFmtId="0" fontId="79" fillId="16" borderId="23" xfId="0" applyFont="1" applyFill="1" applyBorder="1" applyAlignment="1">
      <alignment horizontal="center" vertical="center" wrapText="1"/>
    </xf>
    <xf numFmtId="0" fontId="80" fillId="16" borderId="15" xfId="0" applyFont="1" applyFill="1" applyBorder="1" applyAlignment="1">
      <alignment horizontal="center" vertical="center"/>
    </xf>
    <xf numFmtId="0" fontId="81" fillId="16" borderId="0" xfId="0" applyFont="1" applyFill="1" applyAlignment="1">
      <alignment horizontal="center" vertical="center"/>
    </xf>
    <xf numFmtId="0" fontId="82" fillId="16" borderId="0" xfId="0" applyFont="1" applyFill="1" applyAlignment="1">
      <alignment horizontal="center" vertical="center"/>
    </xf>
    <xf numFmtId="0" fontId="84" fillId="16" borderId="4" xfId="0" applyFont="1" applyFill="1" applyBorder="1" applyAlignment="1">
      <alignment vertical="center"/>
    </xf>
    <xf numFmtId="0" fontId="80" fillId="16" borderId="7" xfId="0" applyFont="1" applyFill="1" applyBorder="1" applyAlignment="1">
      <alignment vertical="center"/>
    </xf>
    <xf numFmtId="0" fontId="83" fillId="16" borderId="10" xfId="0" applyFont="1" applyFill="1" applyBorder="1" applyAlignment="1">
      <alignment vertical="center"/>
    </xf>
    <xf numFmtId="0" fontId="86" fillId="16" borderId="9" xfId="0" applyFont="1" applyFill="1" applyBorder="1" applyAlignment="1">
      <alignment vertical="center"/>
    </xf>
    <xf numFmtId="0" fontId="85" fillId="16" borderId="5" xfId="0" applyFont="1" applyFill="1" applyBorder="1" applyAlignment="1">
      <alignment vertical="center"/>
    </xf>
    <xf numFmtId="0" fontId="85" fillId="16" borderId="3" xfId="0" applyFont="1" applyFill="1" applyBorder="1" applyAlignment="1">
      <alignment vertical="center"/>
    </xf>
    <xf numFmtId="0" fontId="85" fillId="16" borderId="5" xfId="0" applyFont="1" applyFill="1" applyBorder="1" applyAlignment="1">
      <alignment horizontal="center" vertical="center"/>
    </xf>
    <xf numFmtId="0" fontId="85" fillId="16" borderId="10" xfId="0" applyFont="1" applyFill="1" applyBorder="1" applyAlignment="1">
      <alignment horizontal="center" vertical="center"/>
    </xf>
    <xf numFmtId="0" fontId="85" fillId="16" borderId="9" xfId="0" applyFont="1" applyFill="1" applyBorder="1" applyAlignment="1">
      <alignment horizontal="center" vertical="center"/>
    </xf>
    <xf numFmtId="0" fontId="85" fillId="16" borderId="9" xfId="0" applyFont="1" applyFill="1" applyBorder="1" applyAlignment="1">
      <alignment vertical="center"/>
    </xf>
    <xf numFmtId="0" fontId="85" fillId="16" borderId="10" xfId="0" applyFont="1" applyFill="1" applyBorder="1" applyAlignment="1">
      <alignment vertical="center"/>
    </xf>
    <xf numFmtId="0" fontId="83" fillId="16" borderId="3" xfId="0" applyFont="1" applyFill="1" applyBorder="1" applyAlignment="1">
      <alignment vertical="center"/>
    </xf>
    <xf numFmtId="0" fontId="80" fillId="16" borderId="8" xfId="0" applyFont="1" applyFill="1" applyBorder="1" applyAlignment="1">
      <alignment vertical="center"/>
    </xf>
    <xf numFmtId="0" fontId="85" fillId="16" borderId="19" xfId="0" applyFont="1" applyFill="1" applyBorder="1" applyAlignment="1">
      <alignment vertical="center"/>
    </xf>
    <xf numFmtId="0" fontId="85" fillId="16" borderId="8" xfId="0" applyFont="1" applyFill="1" applyBorder="1" applyAlignment="1">
      <alignment vertical="center"/>
    </xf>
    <xf numFmtId="0" fontId="87" fillId="16" borderId="14" xfId="0" applyFont="1" applyFill="1" applyBorder="1" applyAlignment="1">
      <alignment vertical="center"/>
    </xf>
    <xf numFmtId="0" fontId="85" fillId="16" borderId="4" xfId="0" applyFont="1" applyFill="1" applyBorder="1" applyAlignment="1">
      <alignment vertical="center"/>
    </xf>
    <xf numFmtId="0" fontId="85" fillId="16" borderId="8" xfId="0" applyFont="1" applyFill="1" applyBorder="1" applyAlignment="1">
      <alignment horizontal="center" vertical="center"/>
    </xf>
    <xf numFmtId="0" fontId="85" fillId="16" borderId="19" xfId="0" applyFont="1" applyFill="1" applyBorder="1" applyAlignment="1">
      <alignment horizontal="center" vertical="center"/>
    </xf>
    <xf numFmtId="0" fontId="85" fillId="16" borderId="14" xfId="0" applyFont="1" applyFill="1" applyBorder="1" applyAlignment="1">
      <alignment vertical="center"/>
    </xf>
    <xf numFmtId="43" fontId="86" fillId="16" borderId="9" xfId="1" applyFont="1" applyFill="1" applyBorder="1" applyAlignment="1">
      <alignment vertical="center"/>
    </xf>
    <xf numFmtId="43" fontId="87" fillId="16" borderId="14" xfId="1" applyFont="1" applyFill="1" applyBorder="1" applyAlignment="1">
      <alignment vertical="center"/>
    </xf>
    <xf numFmtId="0" fontId="88" fillId="16" borderId="15" xfId="0" applyFont="1" applyFill="1" applyBorder="1" applyAlignment="1">
      <alignment vertical="center"/>
    </xf>
    <xf numFmtId="0" fontId="88" fillId="16" borderId="0" xfId="0" applyFont="1" applyFill="1" applyAlignment="1">
      <alignment horizontal="center" vertical="center"/>
    </xf>
    <xf numFmtId="0" fontId="89" fillId="16" borderId="4" xfId="0" applyFont="1" applyFill="1" applyBorder="1" applyAlignment="1">
      <alignment horizontal="center" vertical="center"/>
    </xf>
    <xf numFmtId="44" fontId="88" fillId="16" borderId="8" xfId="2" applyFont="1" applyFill="1" applyBorder="1" applyAlignment="1">
      <alignment horizontal="center" vertical="center"/>
    </xf>
    <xf numFmtId="0" fontId="88" fillId="16" borderId="11" xfId="0" applyFont="1" applyFill="1" applyBorder="1" applyAlignment="1">
      <alignment vertical="center"/>
    </xf>
    <xf numFmtId="0" fontId="88" fillId="16" borderId="9" xfId="0" applyFont="1" applyFill="1" applyBorder="1" applyAlignment="1">
      <alignment horizontal="center" vertical="center"/>
    </xf>
    <xf numFmtId="0" fontId="88" fillId="16" borderId="3" xfId="0" applyFont="1" applyFill="1" applyBorder="1" applyAlignment="1">
      <alignment horizontal="center" vertical="center"/>
    </xf>
    <xf numFmtId="0" fontId="88" fillId="16" borderId="12" xfId="0" applyFont="1" applyFill="1" applyBorder="1" applyAlignment="1">
      <alignment vertical="center"/>
    </xf>
    <xf numFmtId="0" fontId="88" fillId="16" borderId="13" xfId="0" applyFont="1" applyFill="1" applyBorder="1" applyAlignment="1">
      <alignment vertical="center"/>
    </xf>
    <xf numFmtId="0" fontId="88" fillId="16" borderId="7" xfId="0" applyFont="1" applyFill="1" applyBorder="1" applyAlignment="1">
      <alignment vertical="center"/>
    </xf>
    <xf numFmtId="44" fontId="88" fillId="16" borderId="7" xfId="2" applyFont="1" applyFill="1" applyBorder="1" applyAlignment="1">
      <alignment vertical="center"/>
    </xf>
    <xf numFmtId="44" fontId="88" fillId="16" borderId="2" xfId="2" applyFont="1" applyFill="1" applyBorder="1" applyAlignment="1">
      <alignment vertical="center"/>
    </xf>
    <xf numFmtId="44" fontId="88" fillId="16" borderId="12" xfId="2" applyFont="1" applyFill="1" applyBorder="1" applyAlignment="1">
      <alignment vertical="center"/>
    </xf>
    <xf numFmtId="0" fontId="88" fillId="16" borderId="14" xfId="0" applyFont="1" applyFill="1" applyBorder="1" applyAlignment="1">
      <alignment vertical="center"/>
    </xf>
    <xf numFmtId="0" fontId="88" fillId="16" borderId="5" xfId="0" applyFont="1" applyFill="1" applyBorder="1" applyAlignment="1">
      <alignment vertical="center"/>
    </xf>
    <xf numFmtId="0" fontId="88" fillId="16" borderId="9" xfId="0" applyFont="1" applyFill="1" applyBorder="1" applyAlignment="1">
      <alignment vertical="center"/>
    </xf>
    <xf numFmtId="0" fontId="88" fillId="16" borderId="8" xfId="0" applyFont="1" applyFill="1" applyBorder="1" applyAlignment="1">
      <alignment vertical="center"/>
    </xf>
    <xf numFmtId="44" fontId="88" fillId="16" borderId="8" xfId="2" applyFont="1" applyFill="1" applyBorder="1" applyAlignment="1">
      <alignment vertical="center"/>
    </xf>
    <xf numFmtId="44" fontId="88" fillId="16" borderId="4" xfId="2" applyFont="1" applyFill="1" applyBorder="1" applyAlignment="1">
      <alignment vertical="center"/>
    </xf>
    <xf numFmtId="49" fontId="79" fillId="16" borderId="27" xfId="0" applyNumberFormat="1" applyFont="1" applyFill="1" applyBorder="1" applyAlignment="1">
      <alignment horizontal="center" vertical="center" wrapText="1"/>
    </xf>
    <xf numFmtId="0" fontId="79" fillId="16" borderId="45" xfId="0" applyFont="1" applyFill="1" applyBorder="1" applyAlignment="1">
      <alignment horizontal="center" vertical="center" wrapText="1"/>
    </xf>
    <xf numFmtId="0" fontId="79" fillId="16" borderId="19" xfId="0" applyFont="1" applyFill="1" applyBorder="1" applyAlignment="1">
      <alignment horizontal="center" vertical="center" wrapText="1"/>
    </xf>
    <xf numFmtId="0" fontId="90" fillId="16" borderId="5" xfId="0" applyFont="1" applyFill="1" applyBorder="1"/>
    <xf numFmtId="0" fontId="91" fillId="16" borderId="5" xfId="0" applyFont="1" applyFill="1" applyBorder="1" applyAlignment="1">
      <alignment horizontal="center"/>
    </xf>
    <xf numFmtId="43" fontId="91" fillId="16" borderId="5" xfId="1" applyFont="1" applyFill="1" applyBorder="1" applyAlignment="1">
      <alignment horizontal="center"/>
    </xf>
    <xf numFmtId="0" fontId="5" fillId="15" borderId="6" xfId="0" applyFont="1" applyFill="1" applyBorder="1" applyAlignment="1">
      <alignment horizontal="right" vertical="center"/>
    </xf>
    <xf numFmtId="164" fontId="12" fillId="15" borderId="6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vertical="center"/>
    </xf>
    <xf numFmtId="49" fontId="92" fillId="16" borderId="22" xfId="0" applyNumberFormat="1" applyFont="1" applyFill="1" applyBorder="1" applyAlignment="1">
      <alignment horizontal="center" vertical="center" wrapText="1"/>
    </xf>
    <xf numFmtId="49" fontId="92" fillId="16" borderId="5" xfId="0" applyNumberFormat="1" applyFont="1" applyFill="1" applyBorder="1" applyAlignment="1">
      <alignment horizontal="center" vertical="center" wrapText="1"/>
    </xf>
    <xf numFmtId="44" fontId="42" fillId="3" borderId="38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44" fontId="0" fillId="3" borderId="36" xfId="1" applyNumberFormat="1" applyFont="1" applyFill="1" applyBorder="1"/>
    <xf numFmtId="0" fontId="93" fillId="16" borderId="28" xfId="0" applyFont="1" applyFill="1" applyBorder="1" applyAlignment="1">
      <alignment horizontal="center" vertical="center" wrapText="1"/>
    </xf>
    <xf numFmtId="49" fontId="93" fillId="16" borderId="2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43" fontId="63" fillId="0" borderId="8" xfId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3" fontId="63" fillId="0" borderId="3" xfId="1" applyFont="1" applyFill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3" fontId="63" fillId="0" borderId="8" xfId="1" applyFont="1" applyFill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5" fillId="0" borderId="43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right" vertical="center"/>
    </xf>
    <xf numFmtId="43" fontId="63" fillId="0" borderId="43" xfId="1" applyFont="1" applyFill="1" applyBorder="1" applyAlignment="1">
      <alignment horizontal="right" vertical="center"/>
    </xf>
    <xf numFmtId="49" fontId="5" fillId="0" borderId="21" xfId="0" applyNumberFormat="1" applyFont="1" applyBorder="1" applyAlignment="1">
      <alignment vertical="center"/>
    </xf>
    <xf numFmtId="43" fontId="64" fillId="0" borderId="6" xfId="1" applyFont="1" applyFill="1" applyBorder="1"/>
    <xf numFmtId="164" fontId="12" fillId="3" borderId="43" xfId="0" applyNumberFormat="1" applyFont="1" applyFill="1" applyBorder="1" applyAlignment="1">
      <alignment horizontal="right" vertical="center"/>
    </xf>
    <xf numFmtId="43" fontId="12" fillId="3" borderId="6" xfId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43" fontId="5" fillId="3" borderId="0" xfId="0" applyNumberFormat="1" applyFont="1" applyFill="1" applyAlignment="1">
      <alignment vertical="center"/>
    </xf>
    <xf numFmtId="43" fontId="1" fillId="3" borderId="6" xfId="0" applyNumberFormat="1" applyFont="1" applyFill="1" applyBorder="1" applyAlignment="1">
      <alignment vertical="center"/>
    </xf>
    <xf numFmtId="164" fontId="1" fillId="15" borderId="43" xfId="0" applyNumberFormat="1" applyFont="1" applyFill="1" applyBorder="1" applyAlignment="1">
      <alignment vertical="center"/>
    </xf>
    <xf numFmtId="0" fontId="1" fillId="15" borderId="0" xfId="0" applyFont="1" applyFill="1" applyAlignment="1">
      <alignment horizontal="right" vertical="center"/>
    </xf>
    <xf numFmtId="0" fontId="1" fillId="15" borderId="6" xfId="0" applyFont="1" applyFill="1" applyBorder="1" applyAlignment="1">
      <alignment vertical="center"/>
    </xf>
    <xf numFmtId="43" fontId="63" fillId="15" borderId="6" xfId="1" applyFont="1" applyFill="1" applyBorder="1" applyAlignment="1">
      <alignment vertical="center"/>
    </xf>
    <xf numFmtId="164" fontId="5" fillId="15" borderId="21" xfId="0" applyNumberFormat="1" applyFont="1" applyFill="1" applyBorder="1" applyAlignment="1">
      <alignment vertical="center"/>
    </xf>
    <xf numFmtId="0" fontId="1" fillId="15" borderId="20" xfId="0" applyFont="1" applyFill="1" applyBorder="1" applyAlignment="1">
      <alignment vertical="center"/>
    </xf>
    <xf numFmtId="43" fontId="1" fillId="15" borderId="6" xfId="0" applyNumberFormat="1" applyFont="1" applyFill="1" applyBorder="1" applyAlignment="1">
      <alignment vertical="center"/>
    </xf>
    <xf numFmtId="43" fontId="1" fillId="15" borderId="6" xfId="1" applyFont="1" applyFill="1" applyBorder="1" applyAlignment="1">
      <alignment vertical="center"/>
    </xf>
    <xf numFmtId="0" fontId="1" fillId="15" borderId="48" xfId="0" applyFont="1" applyFill="1" applyBorder="1" applyAlignment="1">
      <alignment horizontal="right" vertical="center"/>
    </xf>
    <xf numFmtId="43" fontId="5" fillId="15" borderId="0" xfId="0" applyNumberFormat="1" applyFont="1" applyFill="1" applyAlignment="1">
      <alignment vertical="center"/>
    </xf>
    <xf numFmtId="43" fontId="1" fillId="15" borderId="0" xfId="0" applyNumberFormat="1" applyFont="1" applyFill="1" applyAlignment="1">
      <alignment vertical="center"/>
    </xf>
    <xf numFmtId="0" fontId="1" fillId="15" borderId="12" xfId="0" applyFont="1" applyFill="1" applyBorder="1" applyAlignment="1">
      <alignment horizontal="right" vertical="center"/>
    </xf>
    <xf numFmtId="164" fontId="5" fillId="15" borderId="6" xfId="0" applyNumberFormat="1" applyFont="1" applyFill="1" applyBorder="1" applyAlignment="1">
      <alignment horizontal="right" vertical="center"/>
    </xf>
    <xf numFmtId="0" fontId="1" fillId="15" borderId="20" xfId="0" applyFont="1" applyFill="1" applyBorder="1" applyAlignment="1">
      <alignment horizontal="right" vertical="center"/>
    </xf>
    <xf numFmtId="43" fontId="12" fillId="15" borderId="6" xfId="1" applyFont="1" applyFill="1" applyBorder="1" applyAlignment="1">
      <alignment horizontal="right" vertical="center"/>
    </xf>
    <xf numFmtId="164" fontId="1" fillId="15" borderId="20" xfId="0" applyNumberFormat="1" applyFont="1" applyFill="1" applyBorder="1" applyAlignment="1">
      <alignment horizontal="right" vertical="center"/>
    </xf>
    <xf numFmtId="49" fontId="5" fillId="15" borderId="43" xfId="0" applyNumberFormat="1" applyFont="1" applyFill="1" applyBorder="1" applyAlignment="1">
      <alignment horizontal="left" vertical="center"/>
    </xf>
    <xf numFmtId="0" fontId="1" fillId="15" borderId="43" xfId="0" applyFont="1" applyFill="1" applyBorder="1" applyAlignment="1">
      <alignment horizontal="right" vertical="center"/>
    </xf>
    <xf numFmtId="43" fontId="63" fillId="15" borderId="43" xfId="1" applyFont="1" applyFill="1" applyBorder="1" applyAlignment="1">
      <alignment horizontal="right" vertical="center"/>
    </xf>
    <xf numFmtId="164" fontId="12" fillId="15" borderId="43" xfId="0" applyNumberFormat="1" applyFont="1" applyFill="1" applyBorder="1" applyAlignment="1">
      <alignment horizontal="right" vertical="center"/>
    </xf>
    <xf numFmtId="0" fontId="5" fillId="15" borderId="34" xfId="0" applyFont="1" applyFill="1" applyBorder="1" applyAlignment="1">
      <alignment vertical="center"/>
    </xf>
    <xf numFmtId="44" fontId="42" fillId="15" borderId="38" xfId="2" applyFont="1" applyFill="1" applyBorder="1" applyAlignment="1">
      <alignment vertical="center"/>
    </xf>
    <xf numFmtId="44" fontId="10" fillId="15" borderId="38" xfId="0" applyNumberFormat="1" applyFont="1" applyFill="1" applyBorder="1" applyAlignment="1">
      <alignment vertical="center"/>
    </xf>
    <xf numFmtId="0" fontId="14" fillId="15" borderId="0" xfId="0" applyFont="1" applyFill="1" applyAlignment="1">
      <alignment vertical="center"/>
    </xf>
    <xf numFmtId="44" fontId="10" fillId="15" borderId="17" xfId="2" applyFont="1" applyFill="1" applyBorder="1" applyAlignment="1">
      <alignment vertical="center"/>
    </xf>
    <xf numFmtId="44" fontId="10" fillId="15" borderId="16" xfId="2" applyFont="1" applyFill="1" applyBorder="1" applyAlignment="1">
      <alignment vertical="center"/>
    </xf>
    <xf numFmtId="44" fontId="65" fillId="15" borderId="42" xfId="2" applyFont="1" applyFill="1" applyBorder="1" applyAlignment="1">
      <alignment vertical="center"/>
    </xf>
    <xf numFmtId="0" fontId="38" fillId="15" borderId="0" xfId="0" applyFont="1" applyFill="1" applyAlignment="1">
      <alignment vertical="center"/>
    </xf>
    <xf numFmtId="0" fontId="1" fillId="15" borderId="0" xfId="0" applyFont="1" applyFill="1" applyAlignment="1">
      <alignment vertical="center"/>
    </xf>
    <xf numFmtId="43" fontId="14" fillId="0" borderId="5" xfId="1" applyFont="1" applyFill="1" applyBorder="1"/>
    <xf numFmtId="43" fontId="14" fillId="0" borderId="7" xfId="1" applyFont="1" applyFill="1" applyBorder="1"/>
    <xf numFmtId="0" fontId="76" fillId="0" borderId="0" xfId="0" applyFont="1" applyAlignment="1">
      <alignment vertical="center"/>
    </xf>
    <xf numFmtId="0" fontId="0" fillId="5" borderId="0" xfId="0" applyFill="1" applyAlignment="1">
      <alignment horizontal="left"/>
    </xf>
    <xf numFmtId="0" fontId="1" fillId="17" borderId="0" xfId="0" applyFont="1" applyFill="1" applyAlignment="1">
      <alignment vertical="center"/>
    </xf>
    <xf numFmtId="0" fontId="1" fillId="11" borderId="0" xfId="0" applyFont="1" applyFill="1" applyAlignment="1">
      <alignment vertical="center"/>
    </xf>
    <xf numFmtId="0" fontId="1" fillId="18" borderId="0" xfId="0" applyFont="1" applyFill="1" applyAlignment="1">
      <alignment vertical="center"/>
    </xf>
    <xf numFmtId="0" fontId="0" fillId="0" borderId="5" xfId="0" applyBorder="1" applyAlignment="1">
      <alignment wrapText="1"/>
    </xf>
    <xf numFmtId="43" fontId="68" fillId="0" borderId="5" xfId="1" applyFont="1" applyFill="1" applyBorder="1" applyAlignment="1">
      <alignment vertical="center"/>
    </xf>
    <xf numFmtId="43" fontId="13" fillId="0" borderId="5" xfId="0" applyNumberFormat="1" applyFont="1" applyBorder="1" applyAlignment="1">
      <alignment vertical="center"/>
    </xf>
    <xf numFmtId="43" fontId="67" fillId="0" borderId="5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3" fillId="0" borderId="43" xfId="0" applyFont="1" applyBorder="1" applyAlignment="1">
      <alignment wrapText="1"/>
    </xf>
    <xf numFmtId="12" fontId="13" fillId="0" borderId="43" xfId="0" applyNumberFormat="1" applyFont="1" applyBorder="1" applyAlignment="1">
      <alignment horizontal="left"/>
    </xf>
    <xf numFmtId="43" fontId="14" fillId="0" borderId="43" xfId="1" applyFont="1" applyFill="1" applyBorder="1"/>
    <xf numFmtId="44" fontId="14" fillId="0" borderId="43" xfId="2" applyFont="1" applyFill="1" applyBorder="1"/>
    <xf numFmtId="44" fontId="88" fillId="16" borderId="5" xfId="2" applyFont="1" applyFill="1" applyBorder="1" applyAlignment="1">
      <alignment vertical="center"/>
    </xf>
    <xf numFmtId="0" fontId="3" fillId="0" borderId="0" xfId="0" applyFont="1"/>
    <xf numFmtId="43" fontId="1" fillId="0" borderId="19" xfId="1" applyFont="1" applyFill="1" applyBorder="1" applyAlignment="1">
      <alignment vertical="center"/>
    </xf>
    <xf numFmtId="0" fontId="58" fillId="19" borderId="36" xfId="0" applyFont="1" applyFill="1" applyBorder="1" applyAlignment="1">
      <alignment horizontal="center"/>
    </xf>
    <xf numFmtId="0" fontId="0" fillId="19" borderId="36" xfId="0" applyFill="1" applyBorder="1" applyAlignment="1">
      <alignment horizontal="center"/>
    </xf>
    <xf numFmtId="43" fontId="73" fillId="19" borderId="36" xfId="1" applyFont="1" applyFill="1" applyBorder="1" applyAlignment="1">
      <alignment horizontal="center"/>
    </xf>
    <xf numFmtId="43" fontId="0" fillId="19" borderId="36" xfId="1" applyFont="1" applyFill="1" applyBorder="1" applyAlignment="1">
      <alignment horizontal="center"/>
    </xf>
    <xf numFmtId="44" fontId="0" fillId="19" borderId="36" xfId="1" applyNumberFormat="1" applyFont="1" applyFill="1" applyBorder="1"/>
    <xf numFmtId="0" fontId="58" fillId="19" borderId="5" xfId="0" applyFont="1" applyFill="1" applyBorder="1" applyAlignment="1">
      <alignment horizontal="center"/>
    </xf>
    <xf numFmtId="0" fontId="0" fillId="19" borderId="5" xfId="0" applyFill="1" applyBorder="1" applyAlignment="1">
      <alignment horizontal="center"/>
    </xf>
    <xf numFmtId="43" fontId="73" fillId="19" borderId="5" xfId="1" applyFont="1" applyFill="1" applyBorder="1" applyAlignment="1">
      <alignment horizontal="center"/>
    </xf>
    <xf numFmtId="43" fontId="0" fillId="19" borderId="5" xfId="1" applyFont="1" applyFill="1" applyBorder="1" applyAlignment="1">
      <alignment horizontal="center"/>
    </xf>
    <xf numFmtId="44" fontId="0" fillId="19" borderId="5" xfId="1" applyNumberFormat="1" applyFont="1" applyFill="1" applyBorder="1"/>
    <xf numFmtId="164" fontId="12" fillId="15" borderId="43" xfId="1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48" fillId="0" borderId="9" xfId="0" applyFont="1" applyBorder="1"/>
    <xf numFmtId="0" fontId="48" fillId="0" borderId="10" xfId="0" applyFont="1" applyBorder="1"/>
    <xf numFmtId="0" fontId="13" fillId="2" borderId="8" xfId="0" applyFont="1" applyFill="1" applyBorder="1"/>
    <xf numFmtId="0" fontId="48" fillId="0" borderId="0" xfId="0" applyFont="1"/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wrapText="1"/>
    </xf>
    <xf numFmtId="44" fontId="14" fillId="0" borderId="7" xfId="2" applyFont="1" applyFill="1" applyBorder="1"/>
    <xf numFmtId="43" fontId="1" fillId="0" borderId="20" xfId="1" applyFont="1" applyFill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3" fontId="63" fillId="0" borderId="7" xfId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vertical="center"/>
    </xf>
    <xf numFmtId="0" fontId="94" fillId="0" borderId="0" xfId="0" applyFont="1"/>
    <xf numFmtId="0" fontId="9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8" fillId="19" borderId="8" xfId="0" applyFont="1" applyFill="1" applyBorder="1" applyAlignment="1">
      <alignment horizontal="center"/>
    </xf>
    <xf numFmtId="0" fontId="0" fillId="19" borderId="8" xfId="0" applyFill="1" applyBorder="1" applyAlignment="1">
      <alignment horizontal="center"/>
    </xf>
    <xf numFmtId="43" fontId="73" fillId="19" borderId="8" xfId="1" applyFont="1" applyFill="1" applyBorder="1" applyAlignment="1">
      <alignment horizontal="center"/>
    </xf>
    <xf numFmtId="43" fontId="0" fillId="19" borderId="8" xfId="1" applyFont="1" applyFill="1" applyBorder="1" applyAlignment="1">
      <alignment horizontal="center"/>
    </xf>
    <xf numFmtId="44" fontId="0" fillId="19" borderId="8" xfId="1" applyNumberFormat="1" applyFont="1" applyFill="1" applyBorder="1"/>
    <xf numFmtId="0" fontId="17" fillId="0" borderId="5" xfId="0" applyFont="1" applyBorder="1" applyAlignment="1">
      <alignment vertical="center"/>
    </xf>
    <xf numFmtId="49" fontId="1" fillId="11" borderId="5" xfId="0" applyNumberFormat="1" applyFont="1" applyFill="1" applyBorder="1" applyAlignment="1">
      <alignment vertical="center"/>
    </xf>
    <xf numFmtId="0" fontId="1" fillId="11" borderId="5" xfId="0" applyFont="1" applyFill="1" applyBorder="1" applyAlignment="1">
      <alignment vertical="center"/>
    </xf>
    <xf numFmtId="0" fontId="1" fillId="11" borderId="5" xfId="0" applyFont="1" applyFill="1" applyBorder="1" applyAlignment="1">
      <alignment horizontal="center" vertical="center"/>
    </xf>
    <xf numFmtId="43" fontId="63" fillId="11" borderId="5" xfId="1" applyFont="1" applyFill="1" applyBorder="1" applyAlignment="1">
      <alignment horizontal="center" vertical="center"/>
    </xf>
    <xf numFmtId="164" fontId="1" fillId="11" borderId="5" xfId="0" applyNumberFormat="1" applyFont="1" applyFill="1" applyBorder="1" applyAlignment="1">
      <alignment vertical="center"/>
    </xf>
    <xf numFmtId="0" fontId="1" fillId="11" borderId="20" xfId="0" applyFont="1" applyFill="1" applyBorder="1" applyAlignment="1">
      <alignment vertical="center"/>
    </xf>
    <xf numFmtId="43" fontId="14" fillId="0" borderId="0" xfId="1" applyFont="1" applyFill="1" applyBorder="1"/>
    <xf numFmtId="0" fontId="16" fillId="0" borderId="2" xfId="0" applyFont="1" applyBorder="1" applyAlignment="1">
      <alignment horizontal="center" vertical="center"/>
    </xf>
    <xf numFmtId="44" fontId="88" fillId="16" borderId="0" xfId="2" applyFont="1" applyFill="1" applyBorder="1" applyAlignment="1">
      <alignment horizontal="center" vertical="center"/>
    </xf>
    <xf numFmtId="44" fontId="0" fillId="19" borderId="0" xfId="1" applyNumberFormat="1" applyFont="1" applyFill="1" applyBorder="1"/>
    <xf numFmtId="44" fontId="0" fillId="2" borderId="34" xfId="1" applyNumberFormat="1" applyFont="1" applyFill="1" applyBorder="1"/>
    <xf numFmtId="44" fontId="0" fillId="3" borderId="0" xfId="1" applyNumberFormat="1" applyFont="1" applyFill="1" applyBorder="1"/>
    <xf numFmtId="164" fontId="12" fillId="3" borderId="0" xfId="0" applyNumberFormat="1" applyFont="1" applyFill="1" applyAlignment="1">
      <alignment horizontal="right" vertical="center"/>
    </xf>
    <xf numFmtId="164" fontId="1" fillId="15" borderId="0" xfId="0" applyNumberFormat="1" applyFont="1" applyFill="1" applyAlignment="1">
      <alignment vertical="center"/>
    </xf>
    <xf numFmtId="164" fontId="38" fillId="15" borderId="0" xfId="0" applyNumberFormat="1" applyFont="1" applyFill="1" applyAlignment="1">
      <alignment vertical="center"/>
    </xf>
    <xf numFmtId="44" fontId="88" fillId="16" borderId="0" xfId="2" applyFont="1" applyFill="1" applyBorder="1" applyAlignment="1">
      <alignment vertical="center"/>
    </xf>
    <xf numFmtId="44" fontId="13" fillId="0" borderId="14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83" fillId="16" borderId="0" xfId="0" applyFont="1" applyFill="1" applyAlignment="1">
      <alignment vertical="center"/>
    </xf>
    <xf numFmtId="44" fontId="13" fillId="0" borderId="14" xfId="0" applyNumberFormat="1" applyFont="1" applyBorder="1" applyAlignment="1">
      <alignment vertical="center"/>
    </xf>
    <xf numFmtId="44" fontId="10" fillId="3" borderId="0" xfId="0" applyNumberFormat="1" applyFont="1" applyFill="1" applyAlignment="1">
      <alignment vertical="center"/>
    </xf>
    <xf numFmtId="0" fontId="84" fillId="16" borderId="0" xfId="0" applyFont="1" applyFill="1" applyAlignment="1">
      <alignment vertical="center"/>
    </xf>
    <xf numFmtId="44" fontId="42" fillId="3" borderId="0" xfId="2" applyFont="1" applyFill="1" applyBorder="1" applyAlignment="1">
      <alignment vertical="center"/>
    </xf>
    <xf numFmtId="164" fontId="12" fillId="3" borderId="2" xfId="0" applyNumberFormat="1" applyFont="1" applyFill="1" applyBorder="1" applyAlignment="1">
      <alignment horizontal="right" vertical="center"/>
    </xf>
    <xf numFmtId="43" fontId="12" fillId="3" borderId="0" xfId="1" applyFont="1" applyFill="1" applyBorder="1" applyAlignment="1">
      <alignment horizontal="right" vertical="center"/>
    </xf>
    <xf numFmtId="164" fontId="5" fillId="3" borderId="2" xfId="0" applyNumberFormat="1" applyFont="1" applyFill="1" applyBorder="1" applyAlignment="1">
      <alignment horizontal="right" vertical="center"/>
    </xf>
    <xf numFmtId="164" fontId="5" fillId="3" borderId="20" xfId="0" applyNumberFormat="1" applyFont="1" applyFill="1" applyBorder="1" applyAlignment="1">
      <alignment vertical="center"/>
    </xf>
    <xf numFmtId="0" fontId="93" fillId="16" borderId="4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3" fillId="16" borderId="46" xfId="0" applyFont="1" applyFill="1" applyBorder="1" applyAlignment="1">
      <alignment horizontal="center" vertical="center" wrapText="1"/>
    </xf>
    <xf numFmtId="0" fontId="93" fillId="16" borderId="4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2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3" fillId="0" borderId="5" xfId="0" applyNumberFormat="1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left" vertical="center" wrapText="1"/>
    </xf>
    <xf numFmtId="49" fontId="5" fillId="0" borderId="4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9" fontId="5" fillId="15" borderId="21" xfId="0" applyNumberFormat="1" applyFont="1" applyFill="1" applyBorder="1" applyAlignment="1">
      <alignment horizontal="center" vertical="center"/>
    </xf>
    <xf numFmtId="49" fontId="5" fillId="15" borderId="6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83" fillId="16" borderId="14" xfId="0" applyFont="1" applyFill="1" applyBorder="1" applyAlignment="1">
      <alignment horizontal="center" vertical="center"/>
    </xf>
    <xf numFmtId="0" fontId="83" fillId="16" borderId="4" xfId="0" applyFont="1" applyFill="1" applyBorder="1" applyAlignment="1">
      <alignment horizontal="center" vertical="center"/>
    </xf>
    <xf numFmtId="0" fontId="83" fillId="16" borderId="19" xfId="0" applyFont="1" applyFill="1" applyBorder="1" applyAlignment="1">
      <alignment horizontal="center" vertical="center"/>
    </xf>
    <xf numFmtId="0" fontId="83" fillId="16" borderId="19" xfId="0" applyFont="1" applyFill="1" applyBorder="1" applyAlignment="1">
      <alignment vertical="center"/>
    </xf>
    <xf numFmtId="0" fontId="85" fillId="16" borderId="3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83" fillId="16" borderId="7" xfId="0" applyFont="1" applyFill="1" applyBorder="1" applyAlignment="1">
      <alignment horizontal="center" vertical="center"/>
    </xf>
    <xf numFmtId="0" fontId="83" fillId="16" borderId="15" xfId="0" applyFont="1" applyFill="1" applyBorder="1" applyAlignment="1">
      <alignment horizontal="center" vertical="center"/>
    </xf>
    <xf numFmtId="0" fontId="83" fillId="16" borderId="8" xfId="0" applyFont="1" applyFill="1" applyBorder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2" fillId="15" borderId="37" xfId="0" applyFont="1" applyFill="1" applyBorder="1" applyAlignment="1">
      <alignment horizontal="center" vertical="center"/>
    </xf>
    <xf numFmtId="0" fontId="22" fillId="15" borderId="34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85" fillId="16" borderId="15" xfId="0" applyFont="1" applyFill="1" applyBorder="1" applyAlignment="1">
      <alignment horizontal="center" vertical="center"/>
    </xf>
    <xf numFmtId="0" fontId="85" fillId="16" borderId="8" xfId="0" applyFont="1" applyFill="1" applyBorder="1" applyAlignment="1">
      <alignment horizontal="center" vertical="center"/>
    </xf>
    <xf numFmtId="0" fontId="85" fillId="16" borderId="9" xfId="0" applyFont="1" applyFill="1" applyBorder="1" applyAlignment="1">
      <alignment horizontal="center" vertical="center"/>
    </xf>
    <xf numFmtId="0" fontId="85" fillId="16" borderId="10" xfId="0" applyFont="1" applyFill="1" applyBorder="1" applyAlignment="1">
      <alignment horizontal="center" vertical="center"/>
    </xf>
    <xf numFmtId="0" fontId="89" fillId="16" borderId="5" xfId="0" applyFont="1" applyFill="1" applyBorder="1" applyAlignment="1">
      <alignment horizontal="center" vertical="center"/>
    </xf>
    <xf numFmtId="0" fontId="89" fillId="16" borderId="3" xfId="0" applyFont="1" applyFill="1" applyBorder="1" applyAlignment="1">
      <alignment horizontal="center" vertical="center"/>
    </xf>
    <xf numFmtId="44" fontId="88" fillId="16" borderId="14" xfId="2" applyFont="1" applyFill="1" applyBorder="1" applyAlignment="1">
      <alignment horizontal="center" vertical="center"/>
    </xf>
    <xf numFmtId="44" fontId="88" fillId="16" borderId="19" xfId="2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44" fontId="88" fillId="16" borderId="2" xfId="2" applyFont="1" applyFill="1" applyBorder="1" applyAlignment="1">
      <alignment horizontal="center" vertical="center"/>
    </xf>
    <xf numFmtId="44" fontId="88" fillId="16" borderId="0" xfId="2" applyFont="1" applyFill="1" applyBorder="1" applyAlignment="1">
      <alignment horizontal="center" vertical="center"/>
    </xf>
    <xf numFmtId="44" fontId="88" fillId="16" borderId="4" xfId="2" applyFont="1" applyFill="1" applyBorder="1" applyAlignment="1">
      <alignment horizontal="center" vertical="center"/>
    </xf>
    <xf numFmtId="0" fontId="10" fillId="15" borderId="25" xfId="0" applyFont="1" applyFill="1" applyBorder="1" applyAlignment="1">
      <alignment horizontal="right" vertical="center"/>
    </xf>
    <xf numFmtId="0" fontId="10" fillId="15" borderId="26" xfId="0" applyFont="1" applyFill="1" applyBorder="1" applyAlignment="1">
      <alignment horizontal="right" vertical="center"/>
    </xf>
    <xf numFmtId="0" fontId="10" fillId="15" borderId="2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0" fontId="5" fillId="15" borderId="5" xfId="0" applyFont="1" applyFill="1" applyBorder="1" applyAlignment="1">
      <alignment horizontal="right" vertical="center"/>
    </xf>
    <xf numFmtId="0" fontId="42" fillId="15" borderId="5" xfId="0" applyFont="1" applyFill="1" applyBorder="1" applyAlignment="1">
      <alignment horizontal="right" vertical="center"/>
    </xf>
    <xf numFmtId="0" fontId="38" fillId="0" borderId="9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79" fillId="16" borderId="46" xfId="0" applyFont="1" applyFill="1" applyBorder="1" applyAlignment="1">
      <alignment horizontal="center" vertical="center" wrapText="1"/>
    </xf>
    <xf numFmtId="0" fontId="79" fillId="16" borderId="4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1" fillId="2" borderId="4" xfId="0" applyFont="1" applyFill="1" applyBorder="1" applyAlignment="1">
      <alignment horizontal="center"/>
    </xf>
    <xf numFmtId="0" fontId="49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89E9C"/>
      <color rgb="FFDBF9BD"/>
      <color rgb="FFF56587"/>
      <color rgb="FFFF6699"/>
      <color rgb="FFFFEBF2"/>
      <color rgb="FFFFDDE8"/>
      <color rgb="FFFFC5D8"/>
      <color rgb="FFFFFAEB"/>
      <color rgb="FFFDFEF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Mtra. MARIA ROSAURA BECERRA OLMEDO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146538</xdr:colOff>
      <xdr:row>74</xdr:row>
      <xdr:rowOff>31401</xdr:rowOff>
    </xdr:from>
    <xdr:to>
      <xdr:col>12</xdr:col>
      <xdr:colOff>1884064</xdr:colOff>
      <xdr:row>76</xdr:row>
      <xdr:rowOff>167472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/>
      </xdr:nvGrpSpPr>
      <xdr:grpSpPr>
        <a:xfrm>
          <a:off x="512884" y="25602363"/>
          <a:ext cx="13963021" cy="512884"/>
          <a:chOff x="617555" y="24430054"/>
          <a:chExt cx="12706977" cy="512885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800-000002000000}"/>
              </a:ext>
            </a:extLst>
          </xdr:cNvPr>
          <xdr:cNvSpPr txBox="1"/>
        </xdr:nvSpPr>
        <xdr:spPr>
          <a:xfrm>
            <a:off x="617555" y="24471924"/>
            <a:ext cx="2826099" cy="4396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algn="ctr"/>
            <a:r>
              <a:rPr lang="es-MX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JUAN ZENON TORRES CARRILLO </a:t>
            </a: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 txBox="1"/>
        </xdr:nvSpPr>
        <xdr:spPr>
          <a:xfrm>
            <a:off x="4657830" y="24471923"/>
            <a:ext cx="3715796" cy="4710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Mtra. MARIA ROSAURA BECERRA OLMEDO</a:t>
            </a: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9985550" y="24461456"/>
            <a:ext cx="3234313" cy="4605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algn="ctr"/>
            <a:r>
              <a:rPr lang="es-MX" sz="1100" b="1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ELPIDIO MACIAS GALINDO</a:t>
            </a:r>
            <a:endParaRPr lang="es-MX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37</xdr:row>
      <xdr:rowOff>9525</xdr:rowOff>
    </xdr:from>
    <xdr:to>
      <xdr:col>10</xdr:col>
      <xdr:colOff>2028825</xdr:colOff>
      <xdr:row>41</xdr:row>
      <xdr:rowOff>47625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114300" y="7896225"/>
          <a:ext cx="12001500" cy="800100"/>
          <a:chOff x="617555" y="24430054"/>
          <a:chExt cx="12706977" cy="51288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 txBox="1"/>
        </xdr:nvSpPr>
        <xdr:spPr>
          <a:xfrm>
            <a:off x="617555" y="24471924"/>
            <a:ext cx="2826099" cy="4396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algn="ctr"/>
            <a:r>
              <a:rPr lang="es-MX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Juan Zenon Torres Carrillo 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 txBox="1"/>
        </xdr:nvSpPr>
        <xdr:spPr>
          <a:xfrm>
            <a:off x="4657830" y="24471923"/>
            <a:ext cx="3715796" cy="4710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Mtra. Maria Rosaura Becerra Olmedo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 txBox="1"/>
        </xdr:nvSpPr>
        <xdr:spPr>
          <a:xfrm>
            <a:off x="9985550" y="24461456"/>
            <a:ext cx="3234313" cy="4605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Elpidio Macias Galindo </a:t>
            </a:r>
            <a:endParaRPr lang="es-MX" sz="1100" b="1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2</xdr:col>
      <xdr:colOff>9525</xdr:colOff>
      <xdr:row>37</xdr:row>
      <xdr:rowOff>0</xdr:rowOff>
    </xdr:from>
    <xdr:to>
      <xdr:col>5</xdr:col>
      <xdr:colOff>647700</xdr:colOff>
      <xdr:row>37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>
          <a:off x="476250" y="7381875"/>
          <a:ext cx="28575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workbookViewId="0">
      <selection activeCell="M18" sqref="M18"/>
    </sheetView>
  </sheetViews>
  <sheetFormatPr baseColWidth="10" defaultColWidth="13.42578125" defaultRowHeight="15"/>
  <cols>
    <col min="1" max="1" width="13.42578125" style="148"/>
    <col min="2" max="2" width="7" style="148" customWidth="1"/>
    <col min="3" max="3" width="36.85546875" style="148" customWidth="1"/>
    <col min="4" max="5" width="13.42578125" style="148"/>
    <col min="6" max="6" width="1.42578125" style="148" customWidth="1"/>
    <col min="7" max="8" width="13.42578125" style="148"/>
    <col min="9" max="9" width="12.42578125" style="148" customWidth="1"/>
    <col min="10" max="10" width="9.28515625" style="148" customWidth="1"/>
    <col min="11" max="11" width="13.42578125" style="148"/>
    <col min="12" max="13" width="12.42578125" style="148" customWidth="1"/>
    <col min="14" max="14" width="44" style="148" customWidth="1"/>
    <col min="15" max="16384" width="13.42578125" style="148"/>
  </cols>
  <sheetData>
    <row r="1" spans="2:20">
      <c r="B1" s="35"/>
      <c r="C1" s="623"/>
      <c r="D1" s="624"/>
      <c r="E1" s="624"/>
      <c r="F1" s="624"/>
      <c r="G1" s="624"/>
      <c r="H1" s="624"/>
      <c r="I1" s="264"/>
      <c r="J1" s="23"/>
      <c r="K1" s="23"/>
      <c r="L1" s="23"/>
      <c r="M1" s="23"/>
      <c r="N1" s="23"/>
    </row>
    <row r="2" spans="2:20" ht="19.5">
      <c r="B2" s="625" t="s">
        <v>205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7"/>
    </row>
    <row r="3" spans="2:20">
      <c r="B3" s="628" t="s">
        <v>720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30"/>
    </row>
    <row r="4" spans="2:20">
      <c r="B4" s="24" t="s">
        <v>704</v>
      </c>
      <c r="C4" s="25" t="s">
        <v>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26"/>
    </row>
    <row r="5" spans="2:20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27"/>
    </row>
    <row r="6" spans="2:20" ht="33.75">
      <c r="B6" s="485" t="s">
        <v>1</v>
      </c>
      <c r="C6" s="621" t="s">
        <v>2</v>
      </c>
      <c r="D6" s="622"/>
      <c r="E6" s="484" t="s">
        <v>218</v>
      </c>
      <c r="F6" s="484"/>
      <c r="G6" s="484" t="s">
        <v>5</v>
      </c>
      <c r="H6" s="484" t="s">
        <v>43</v>
      </c>
      <c r="I6" s="484" t="s">
        <v>554</v>
      </c>
      <c r="J6" s="484" t="s">
        <v>42</v>
      </c>
      <c r="K6" s="484" t="s">
        <v>6</v>
      </c>
      <c r="L6" s="484" t="s">
        <v>7</v>
      </c>
      <c r="M6" s="618" t="s">
        <v>751</v>
      </c>
      <c r="N6" s="420" t="s">
        <v>29</v>
      </c>
    </row>
    <row r="7" spans="2:20">
      <c r="B7" s="42" t="s">
        <v>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49"/>
      <c r="P7" s="150"/>
    </row>
    <row r="8" spans="2:20" ht="39.950000000000003" customHeight="1">
      <c r="B8" s="151" t="s">
        <v>258</v>
      </c>
      <c r="C8" s="619" t="s">
        <v>708</v>
      </c>
      <c r="D8" s="620"/>
      <c r="E8" s="9" t="s">
        <v>219</v>
      </c>
      <c r="F8" s="9">
        <v>0</v>
      </c>
      <c r="G8" s="9">
        <v>12370</v>
      </c>
      <c r="H8" s="9">
        <v>0</v>
      </c>
      <c r="I8" s="9"/>
      <c r="J8" s="9">
        <v>1922</v>
      </c>
      <c r="K8" s="9">
        <f>J8</f>
        <v>1922</v>
      </c>
      <c r="L8" s="152">
        <f>G8+H8-J8-I8</f>
        <v>10448</v>
      </c>
      <c r="M8" s="152">
        <f>L8*12</f>
        <v>125376</v>
      </c>
      <c r="N8" s="3"/>
      <c r="P8" s="150"/>
    </row>
    <row r="9" spans="2:20" ht="39.950000000000003" customHeight="1">
      <c r="B9" s="151" t="s">
        <v>259</v>
      </c>
      <c r="C9" s="619" t="s">
        <v>427</v>
      </c>
      <c r="D9" s="620"/>
      <c r="E9" s="9" t="s">
        <v>219</v>
      </c>
      <c r="F9" s="9"/>
      <c r="G9" s="9">
        <v>12370</v>
      </c>
      <c r="H9" s="9">
        <v>0</v>
      </c>
      <c r="I9" s="9"/>
      <c r="J9" s="9">
        <v>1922</v>
      </c>
      <c r="K9" s="9">
        <f t="shared" ref="K9:K17" si="0">J9</f>
        <v>1922</v>
      </c>
      <c r="L9" s="152">
        <f t="shared" ref="L9:L17" si="1">G9+H9-J9-I9</f>
        <v>10448</v>
      </c>
      <c r="M9" s="152">
        <f t="shared" ref="M9:M17" si="2">L9*12</f>
        <v>125376</v>
      </c>
      <c r="N9" s="118"/>
      <c r="P9" s="150"/>
    </row>
    <row r="10" spans="2:20" ht="39.950000000000003" customHeight="1">
      <c r="B10" s="151" t="s">
        <v>260</v>
      </c>
      <c r="C10" s="619" t="s">
        <v>532</v>
      </c>
      <c r="D10" s="620"/>
      <c r="E10" s="9" t="s">
        <v>219</v>
      </c>
      <c r="F10" s="9"/>
      <c r="G10" s="9">
        <v>12370</v>
      </c>
      <c r="H10" s="9">
        <v>0</v>
      </c>
      <c r="I10" s="9"/>
      <c r="J10" s="9">
        <v>1922</v>
      </c>
      <c r="K10" s="9">
        <f t="shared" si="0"/>
        <v>1922</v>
      </c>
      <c r="L10" s="152">
        <f t="shared" si="1"/>
        <v>10448</v>
      </c>
      <c r="M10" s="152">
        <f t="shared" si="2"/>
        <v>125376</v>
      </c>
      <c r="N10" s="118"/>
      <c r="P10" s="150"/>
    </row>
    <row r="11" spans="2:20" ht="39.950000000000003" customHeight="1">
      <c r="B11" s="151" t="s">
        <v>261</v>
      </c>
      <c r="C11" s="619" t="s">
        <v>692</v>
      </c>
      <c r="D11" s="620"/>
      <c r="E11" s="9" t="s">
        <v>219</v>
      </c>
      <c r="F11" s="9"/>
      <c r="G11" s="9">
        <v>12370</v>
      </c>
      <c r="H11" s="9">
        <v>0</v>
      </c>
      <c r="I11" s="9"/>
      <c r="J11" s="9">
        <v>1922</v>
      </c>
      <c r="K11" s="9">
        <f t="shared" si="0"/>
        <v>1922</v>
      </c>
      <c r="L11" s="152">
        <f t="shared" si="1"/>
        <v>10448</v>
      </c>
      <c r="M11" s="152">
        <f t="shared" si="2"/>
        <v>125376</v>
      </c>
      <c r="N11" s="118"/>
      <c r="P11" s="150"/>
    </row>
    <row r="12" spans="2:20" ht="39.950000000000003" customHeight="1">
      <c r="B12" s="151" t="s">
        <v>262</v>
      </c>
      <c r="C12" s="619" t="s">
        <v>40</v>
      </c>
      <c r="D12" s="620"/>
      <c r="E12" s="9" t="s">
        <v>219</v>
      </c>
      <c r="F12" s="9"/>
      <c r="G12" s="9">
        <v>12370</v>
      </c>
      <c r="H12" s="9">
        <v>0</v>
      </c>
      <c r="I12" s="9"/>
      <c r="J12" s="9">
        <v>1922</v>
      </c>
      <c r="K12" s="9">
        <f t="shared" si="0"/>
        <v>1922</v>
      </c>
      <c r="L12" s="152">
        <f t="shared" si="1"/>
        <v>10448</v>
      </c>
      <c r="M12" s="152">
        <f t="shared" si="2"/>
        <v>125376</v>
      </c>
      <c r="N12" s="118"/>
      <c r="P12" s="150"/>
    </row>
    <row r="13" spans="2:20" ht="39.950000000000003" customHeight="1">
      <c r="B13" s="151" t="s">
        <v>263</v>
      </c>
      <c r="C13" s="619" t="s">
        <v>659</v>
      </c>
      <c r="D13" s="620"/>
      <c r="E13" s="9" t="s">
        <v>219</v>
      </c>
      <c r="F13" s="9"/>
      <c r="G13" s="9">
        <v>12370</v>
      </c>
      <c r="H13" s="9">
        <v>0</v>
      </c>
      <c r="I13" s="9"/>
      <c r="J13" s="9">
        <v>1922</v>
      </c>
      <c r="K13" s="9">
        <f t="shared" si="0"/>
        <v>1922</v>
      </c>
      <c r="L13" s="152">
        <f t="shared" si="1"/>
        <v>10448</v>
      </c>
      <c r="M13" s="152">
        <f t="shared" si="2"/>
        <v>125376</v>
      </c>
      <c r="N13" s="118"/>
      <c r="P13" s="150"/>
    </row>
    <row r="14" spans="2:20" ht="39.950000000000003" customHeight="1">
      <c r="B14" s="151" t="s">
        <v>264</v>
      </c>
      <c r="C14" s="619" t="s">
        <v>34</v>
      </c>
      <c r="D14" s="620"/>
      <c r="E14" s="9" t="s">
        <v>219</v>
      </c>
      <c r="F14" s="9"/>
      <c r="G14" s="9">
        <v>12370</v>
      </c>
      <c r="H14" s="9">
        <v>0</v>
      </c>
      <c r="I14" s="9"/>
      <c r="J14" s="9">
        <v>1922</v>
      </c>
      <c r="K14" s="9">
        <f t="shared" si="0"/>
        <v>1922</v>
      </c>
      <c r="L14" s="152">
        <f t="shared" si="1"/>
        <v>10448</v>
      </c>
      <c r="M14" s="152">
        <f t="shared" si="2"/>
        <v>125376</v>
      </c>
      <c r="N14" s="118"/>
      <c r="P14" s="150"/>
    </row>
    <row r="15" spans="2:20" ht="39.950000000000003" customHeight="1">
      <c r="B15" s="151" t="s">
        <v>265</v>
      </c>
      <c r="C15" s="619" t="s">
        <v>32</v>
      </c>
      <c r="D15" s="620"/>
      <c r="E15" s="9" t="s">
        <v>219</v>
      </c>
      <c r="F15" s="9"/>
      <c r="G15" s="9">
        <v>12370</v>
      </c>
      <c r="H15" s="9">
        <v>0</v>
      </c>
      <c r="I15" s="9"/>
      <c r="J15" s="9">
        <v>1922</v>
      </c>
      <c r="K15" s="9">
        <f t="shared" si="0"/>
        <v>1922</v>
      </c>
      <c r="L15" s="152">
        <f t="shared" si="1"/>
        <v>10448</v>
      </c>
      <c r="M15" s="152">
        <f t="shared" si="2"/>
        <v>125376</v>
      </c>
      <c r="N15" s="3"/>
      <c r="P15" s="150"/>
      <c r="S15" s="153">
        <v>81249.2</v>
      </c>
      <c r="T15" s="148" t="s">
        <v>215</v>
      </c>
    </row>
    <row r="16" spans="2:20" ht="39.950000000000003" customHeight="1">
      <c r="B16" s="151" t="s">
        <v>266</v>
      </c>
      <c r="C16" s="619" t="s">
        <v>33</v>
      </c>
      <c r="D16" s="620"/>
      <c r="E16" s="9" t="s">
        <v>219</v>
      </c>
      <c r="F16" s="9"/>
      <c r="G16" s="9">
        <v>12370</v>
      </c>
      <c r="H16" s="9">
        <v>0</v>
      </c>
      <c r="I16" s="9"/>
      <c r="J16" s="9">
        <v>1922</v>
      </c>
      <c r="K16" s="9">
        <f>I16+J16</f>
        <v>1922</v>
      </c>
      <c r="L16" s="152">
        <f>G16-K16</f>
        <v>10448</v>
      </c>
      <c r="M16" s="152">
        <f t="shared" si="2"/>
        <v>125376</v>
      </c>
      <c r="N16" s="3"/>
      <c r="P16" s="150"/>
      <c r="S16" s="153">
        <v>262038.17</v>
      </c>
      <c r="T16" s="148" t="s">
        <v>206</v>
      </c>
    </row>
    <row r="17" spans="2:20" ht="39.950000000000003" customHeight="1">
      <c r="B17" s="151" t="s">
        <v>267</v>
      </c>
      <c r="C17" s="619" t="s">
        <v>552</v>
      </c>
      <c r="D17" s="620"/>
      <c r="E17" s="9" t="s">
        <v>220</v>
      </c>
      <c r="F17" s="9"/>
      <c r="G17" s="9">
        <v>12370</v>
      </c>
      <c r="H17" s="9">
        <v>0</v>
      </c>
      <c r="I17" s="9"/>
      <c r="J17" s="9">
        <v>1922</v>
      </c>
      <c r="K17" s="9">
        <f t="shared" si="0"/>
        <v>1922</v>
      </c>
      <c r="L17" s="152">
        <f t="shared" si="1"/>
        <v>10448</v>
      </c>
      <c r="M17" s="152">
        <f t="shared" si="2"/>
        <v>125376</v>
      </c>
      <c r="N17" s="3"/>
      <c r="P17" s="150"/>
      <c r="S17" s="154"/>
      <c r="T17" s="155"/>
    </row>
    <row r="18" spans="2:20" ht="15.75" thickBot="1">
      <c r="B18" s="156"/>
      <c r="C18" s="476" t="s">
        <v>44</v>
      </c>
      <c r="D18" s="477">
        <f>SUM(D8:D17)</f>
        <v>0</v>
      </c>
      <c r="E18" s="477"/>
      <c r="F18" s="477">
        <f t="shared" ref="F18:H18" si="3">SUM(F8:F17)</f>
        <v>0</v>
      </c>
      <c r="G18" s="477">
        <f>SUM(G8:G17)</f>
        <v>123700</v>
      </c>
      <c r="H18" s="477">
        <f t="shared" si="3"/>
        <v>0</v>
      </c>
      <c r="I18" s="477">
        <f>SUM(I8:I17)</f>
        <v>0</v>
      </c>
      <c r="J18" s="509">
        <f>SUM(J8:J17)</f>
        <v>19220</v>
      </c>
      <c r="K18" s="477">
        <f>SUM(K8:K17)</f>
        <v>19220</v>
      </c>
      <c r="L18" s="206">
        <f>SUM(L8:L17)</f>
        <v>104480</v>
      </c>
      <c r="M18" s="602">
        <f>SUM(M8:M17)</f>
        <v>1253760</v>
      </c>
      <c r="N18" s="510"/>
      <c r="P18" s="150"/>
    </row>
    <row r="19" spans="2:20" ht="15.75" thickTop="1">
      <c r="J19" s="248"/>
      <c r="L19" s="157" t="s">
        <v>45</v>
      </c>
      <c r="M19" s="157"/>
      <c r="P19" s="150"/>
    </row>
    <row r="20" spans="2:20">
      <c r="P20" s="150"/>
      <c r="S20" s="153">
        <v>81333.070000000007</v>
      </c>
      <c r="T20" s="148" t="s">
        <v>216</v>
      </c>
    </row>
    <row r="21" spans="2:20">
      <c r="F21" s="161"/>
      <c r="G21" s="161"/>
      <c r="H21" s="161"/>
      <c r="I21" s="161"/>
      <c r="J21" s="161"/>
      <c r="L21" s="161"/>
      <c r="M21" s="161"/>
      <c r="N21" s="161"/>
      <c r="P21" s="150"/>
      <c r="S21" s="153">
        <v>53056.03</v>
      </c>
      <c r="T21" s="148" t="s">
        <v>217</v>
      </c>
    </row>
    <row r="22" spans="2:20">
      <c r="B22" s="631" t="s">
        <v>715</v>
      </c>
      <c r="C22" s="631"/>
      <c r="D22" s="160"/>
      <c r="F22" s="633" t="s">
        <v>693</v>
      </c>
      <c r="G22" s="633"/>
      <c r="H22" s="633"/>
      <c r="I22" s="633"/>
      <c r="J22" s="633"/>
      <c r="L22" s="631" t="s">
        <v>653</v>
      </c>
      <c r="M22" s="631"/>
      <c r="N22" s="631"/>
      <c r="P22" s="97"/>
      <c r="Q22" s="97"/>
      <c r="S22" s="154"/>
    </row>
    <row r="23" spans="2:20">
      <c r="B23" s="632" t="s">
        <v>144</v>
      </c>
      <c r="C23" s="632"/>
      <c r="D23" s="6"/>
      <c r="F23" s="632" t="s">
        <v>399</v>
      </c>
      <c r="G23" s="632"/>
      <c r="H23" s="632"/>
      <c r="I23" s="632"/>
      <c r="J23" s="632"/>
      <c r="L23" s="632" t="s">
        <v>30</v>
      </c>
      <c r="M23" s="632"/>
      <c r="N23" s="632"/>
      <c r="P23" s="6"/>
      <c r="Q23" s="6"/>
    </row>
    <row r="24" spans="2:20">
      <c r="P24" s="150"/>
    </row>
    <row r="25" spans="2:20">
      <c r="P25" s="150"/>
      <c r="S25" s="153">
        <v>96237.05</v>
      </c>
      <c r="T25" s="148" t="s">
        <v>207</v>
      </c>
    </row>
    <row r="26" spans="2:20">
      <c r="P26" s="150"/>
    </row>
    <row r="27" spans="2:20">
      <c r="L27" s="248">
        <f>G18-I18-J18</f>
        <v>104480</v>
      </c>
      <c r="M27" s="248"/>
      <c r="P27" s="150"/>
      <c r="S27" s="153">
        <v>103878.79</v>
      </c>
      <c r="T27" s="148" t="s">
        <v>214</v>
      </c>
    </row>
    <row r="28" spans="2:20">
      <c r="L28" s="248">
        <f>L18-L27</f>
        <v>0</v>
      </c>
      <c r="M28" s="248"/>
      <c r="P28" s="150"/>
    </row>
    <row r="29" spans="2:20">
      <c r="P29" s="150"/>
      <c r="S29" s="153">
        <v>128320</v>
      </c>
      <c r="T29" s="148" t="s">
        <v>254</v>
      </c>
    </row>
    <row r="30" spans="2:20">
      <c r="P30" s="158"/>
      <c r="S30" s="159">
        <f>SUM(S15:S29)</f>
        <v>806112.31</v>
      </c>
      <c r="T30" s="148" t="s">
        <v>255</v>
      </c>
    </row>
    <row r="31" spans="2:20">
      <c r="P31" s="158"/>
    </row>
    <row r="32" spans="2:20">
      <c r="P32" s="158"/>
    </row>
    <row r="33" spans="16:16">
      <c r="P33" s="158"/>
    </row>
    <row r="34" spans="16:16">
      <c r="P34" s="158"/>
    </row>
    <row r="35" spans="16:16">
      <c r="P35" s="158"/>
    </row>
    <row r="36" spans="16:16">
      <c r="P36" s="158"/>
    </row>
    <row r="37" spans="16:16">
      <c r="P37" s="158"/>
    </row>
    <row r="38" spans="16:16">
      <c r="P38" s="158"/>
    </row>
    <row r="39" spans="16:16">
      <c r="P39" s="158"/>
    </row>
  </sheetData>
  <mergeCells count="20">
    <mergeCell ref="B22:C22"/>
    <mergeCell ref="B23:C23"/>
    <mergeCell ref="L22:N22"/>
    <mergeCell ref="L23:N23"/>
    <mergeCell ref="F22:J22"/>
    <mergeCell ref="F23:J23"/>
    <mergeCell ref="C15:D15"/>
    <mergeCell ref="C16:D16"/>
    <mergeCell ref="C17:D17"/>
    <mergeCell ref="C6:D6"/>
    <mergeCell ref="C1:H1"/>
    <mergeCell ref="B2:N2"/>
    <mergeCell ref="B3:N3"/>
    <mergeCell ref="C8:D8"/>
    <mergeCell ref="C9:D9"/>
    <mergeCell ref="C10:D10"/>
    <mergeCell ref="C11:D11"/>
    <mergeCell ref="C12:D12"/>
    <mergeCell ref="C13:D13"/>
    <mergeCell ref="C14:D14"/>
  </mergeCells>
  <printOptions horizontalCentered="1"/>
  <pageMargins left="0.7" right="0.7" top="0.75" bottom="0.75" header="0.3" footer="0.3"/>
  <pageSetup paperSize="5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C2:L35"/>
  <sheetViews>
    <sheetView workbookViewId="0">
      <selection activeCell="C25" sqref="C25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708" t="s">
        <v>527</v>
      </c>
      <c r="D2" s="708"/>
      <c r="E2" s="708"/>
      <c r="F2" s="708"/>
      <c r="G2" s="708"/>
      <c r="H2" s="708"/>
      <c r="I2" s="708"/>
      <c r="J2" s="708"/>
      <c r="K2" s="238"/>
    </row>
    <row r="3" spans="3:12" ht="42.75">
      <c r="C3" s="709" t="s">
        <v>733</v>
      </c>
      <c r="D3" s="709"/>
      <c r="E3" s="709"/>
      <c r="F3" s="709"/>
      <c r="G3" s="709"/>
      <c r="H3" s="709"/>
      <c r="I3" s="709"/>
      <c r="J3" s="273"/>
      <c r="K3" s="176"/>
    </row>
    <row r="4" spans="3:12" ht="18.75">
      <c r="C4" s="710" t="s">
        <v>340</v>
      </c>
      <c r="D4" s="712" t="s">
        <v>46</v>
      </c>
      <c r="E4" s="712"/>
      <c r="F4" s="713"/>
      <c r="G4" s="174"/>
      <c r="H4" s="174" t="s">
        <v>603</v>
      </c>
      <c r="I4" s="174"/>
      <c r="J4" s="162"/>
      <c r="K4" s="162"/>
    </row>
    <row r="5" spans="3:12" ht="18.75">
      <c r="C5" s="711"/>
      <c r="D5" s="175" t="s">
        <v>47</v>
      </c>
      <c r="E5" s="569" t="s">
        <v>48</v>
      </c>
      <c r="F5" s="572" t="s">
        <v>49</v>
      </c>
      <c r="G5" s="570" t="s">
        <v>50</v>
      </c>
      <c r="H5" s="174"/>
      <c r="I5" s="174" t="s">
        <v>51</v>
      </c>
      <c r="J5" s="174" t="s">
        <v>339</v>
      </c>
      <c r="K5" s="239" t="s">
        <v>517</v>
      </c>
    </row>
    <row r="6" spans="3:12">
      <c r="C6" s="169">
        <v>1</v>
      </c>
      <c r="D6" s="172" t="s">
        <v>304</v>
      </c>
      <c r="E6" s="172" t="s">
        <v>330</v>
      </c>
      <c r="F6" s="571" t="s">
        <v>329</v>
      </c>
      <c r="G6" s="172" t="s">
        <v>328</v>
      </c>
      <c r="H6" s="172">
        <v>122</v>
      </c>
      <c r="I6" s="171" t="s">
        <v>337</v>
      </c>
      <c r="J6" s="538">
        <v>1146</v>
      </c>
      <c r="K6" s="170"/>
    </row>
    <row r="7" spans="3:12">
      <c r="C7" s="169">
        <v>2</v>
      </c>
      <c r="D7" s="172" t="s">
        <v>317</v>
      </c>
      <c r="E7" s="172" t="s">
        <v>312</v>
      </c>
      <c r="F7" s="172" t="s">
        <v>316</v>
      </c>
      <c r="G7" s="172" t="s">
        <v>315</v>
      </c>
      <c r="H7" s="172">
        <v>122</v>
      </c>
      <c r="I7" s="173">
        <v>15544028286487</v>
      </c>
      <c r="J7" s="538">
        <v>1146</v>
      </c>
      <c r="K7" s="170"/>
    </row>
    <row r="8" spans="3:12">
      <c r="C8" s="169">
        <v>3</v>
      </c>
      <c r="D8" s="172" t="s">
        <v>583</v>
      </c>
      <c r="E8" s="172" t="s">
        <v>584</v>
      </c>
      <c r="F8" s="172" t="s">
        <v>585</v>
      </c>
      <c r="G8" s="172" t="s">
        <v>314</v>
      </c>
      <c r="H8" s="172">
        <v>122</v>
      </c>
      <c r="I8" s="173">
        <v>15600228287644</v>
      </c>
      <c r="J8" s="538">
        <v>1146</v>
      </c>
      <c r="K8" s="170"/>
    </row>
    <row r="9" spans="3:12">
      <c r="C9" s="169">
        <v>4</v>
      </c>
      <c r="D9" s="172" t="s">
        <v>327</v>
      </c>
      <c r="E9" s="172" t="s">
        <v>434</v>
      </c>
      <c r="F9" s="172" t="s">
        <v>433</v>
      </c>
      <c r="G9" s="172" t="s">
        <v>604</v>
      </c>
      <c r="H9" s="172">
        <v>122</v>
      </c>
      <c r="I9" s="173"/>
      <c r="J9" s="538">
        <v>1146</v>
      </c>
      <c r="K9" s="170"/>
    </row>
    <row r="10" spans="3:12">
      <c r="C10" s="169">
        <v>5</v>
      </c>
      <c r="D10" s="172" t="s">
        <v>300</v>
      </c>
      <c r="E10" s="172" t="s">
        <v>299</v>
      </c>
      <c r="F10" s="168" t="s">
        <v>298</v>
      </c>
      <c r="G10" s="172" t="s">
        <v>297</v>
      </c>
      <c r="H10" s="172">
        <v>122</v>
      </c>
      <c r="I10" s="171" t="s">
        <v>326</v>
      </c>
      <c r="J10" s="538">
        <v>1146</v>
      </c>
      <c r="K10" s="253"/>
      <c r="L10" s="274"/>
    </row>
    <row r="11" spans="3:12">
      <c r="C11" s="169">
        <v>6</v>
      </c>
      <c r="D11" s="168" t="s">
        <v>296</v>
      </c>
      <c r="E11" s="168" t="s">
        <v>295</v>
      </c>
      <c r="F11" s="168" t="s">
        <v>294</v>
      </c>
      <c r="G11" s="168" t="s">
        <v>293</v>
      </c>
      <c r="H11" s="172">
        <v>122</v>
      </c>
      <c r="I11" s="171" t="s">
        <v>321</v>
      </c>
      <c r="J11" s="538">
        <v>1146</v>
      </c>
      <c r="K11" s="170"/>
    </row>
    <row r="12" spans="3:12">
      <c r="C12" s="169">
        <v>7</v>
      </c>
      <c r="D12" s="172" t="s">
        <v>511</v>
      </c>
      <c r="E12" s="172" t="s">
        <v>512</v>
      </c>
      <c r="F12" s="172" t="s">
        <v>513</v>
      </c>
      <c r="G12" s="172" t="s">
        <v>514</v>
      </c>
      <c r="H12" s="172">
        <v>122</v>
      </c>
      <c r="I12" s="171" t="s">
        <v>318</v>
      </c>
      <c r="J12" s="538">
        <v>1712</v>
      </c>
      <c r="K12" s="170"/>
    </row>
    <row r="13" spans="3:12">
      <c r="C13" s="169">
        <v>8</v>
      </c>
      <c r="D13" s="172" t="s">
        <v>307</v>
      </c>
      <c r="E13" s="172" t="s">
        <v>735</v>
      </c>
      <c r="F13" s="172" t="s">
        <v>736</v>
      </c>
      <c r="G13" s="172" t="s">
        <v>539</v>
      </c>
      <c r="H13" s="172">
        <v>122</v>
      </c>
      <c r="I13" s="173"/>
      <c r="J13" s="538">
        <v>1146</v>
      </c>
      <c r="K13" s="170"/>
    </row>
    <row r="14" spans="3:12">
      <c r="C14" s="169">
        <v>9</v>
      </c>
      <c r="D14" s="172" t="s">
        <v>543</v>
      </c>
      <c r="E14" s="172" t="s">
        <v>544</v>
      </c>
      <c r="F14" s="172" t="s">
        <v>316</v>
      </c>
      <c r="G14" s="172" t="s">
        <v>545</v>
      </c>
      <c r="H14" s="172">
        <v>122</v>
      </c>
      <c r="I14" s="173"/>
      <c r="J14" s="538">
        <v>1146</v>
      </c>
      <c r="K14" s="170"/>
    </row>
    <row r="15" spans="3:12">
      <c r="C15" s="391">
        <v>10</v>
      </c>
      <c r="D15" s="193" t="s">
        <v>620</v>
      </c>
      <c r="E15" s="193" t="s">
        <v>621</v>
      </c>
      <c r="F15" s="193" t="s">
        <v>622</v>
      </c>
      <c r="G15" s="193" t="s">
        <v>633</v>
      </c>
      <c r="H15" s="193">
        <v>122</v>
      </c>
      <c r="I15" s="392"/>
      <c r="J15" s="539">
        <v>1712</v>
      </c>
      <c r="K15" s="393"/>
      <c r="L15" t="s">
        <v>607</v>
      </c>
    </row>
    <row r="16" spans="3:12">
      <c r="C16" s="343">
        <v>11</v>
      </c>
      <c r="D16" s="172" t="s">
        <v>630</v>
      </c>
      <c r="E16" s="172" t="s">
        <v>631</v>
      </c>
      <c r="F16" s="172" t="s">
        <v>638</v>
      </c>
      <c r="G16" s="172" t="s">
        <v>632</v>
      </c>
      <c r="H16" s="172">
        <v>122</v>
      </c>
      <c r="I16" s="173"/>
      <c r="J16" s="538">
        <v>1560</v>
      </c>
      <c r="K16" s="170"/>
      <c r="L16" t="s">
        <v>636</v>
      </c>
    </row>
    <row r="17" spans="3:12" ht="25.5" customHeight="1">
      <c r="C17" s="343">
        <v>12</v>
      </c>
      <c r="D17" s="168" t="s">
        <v>515</v>
      </c>
      <c r="E17" s="168" t="s">
        <v>511</v>
      </c>
      <c r="F17" s="168" t="s">
        <v>516</v>
      </c>
      <c r="G17" s="251" t="s">
        <v>540</v>
      </c>
      <c r="H17" s="172">
        <v>122</v>
      </c>
      <c r="I17" s="173" t="s">
        <v>309</v>
      </c>
      <c r="J17" s="538">
        <v>1639</v>
      </c>
      <c r="K17" s="170"/>
    </row>
    <row r="18" spans="3:12">
      <c r="C18" s="573">
        <v>13</v>
      </c>
      <c r="D18" s="193" t="s">
        <v>538</v>
      </c>
      <c r="E18" s="193" t="s">
        <v>295</v>
      </c>
      <c r="F18" s="193" t="s">
        <v>677</v>
      </c>
      <c r="G18" s="574" t="s">
        <v>678</v>
      </c>
      <c r="H18" s="193">
        <v>122</v>
      </c>
      <c r="I18" s="392"/>
      <c r="J18" s="539">
        <v>1146</v>
      </c>
      <c r="K18" s="575"/>
      <c r="L18" s="541" t="s">
        <v>679</v>
      </c>
    </row>
    <row r="19" spans="3:12" ht="25.5" thickBot="1">
      <c r="C19" s="361">
        <v>14</v>
      </c>
      <c r="D19" s="355" t="s">
        <v>709</v>
      </c>
      <c r="E19" s="355" t="s">
        <v>710</v>
      </c>
      <c r="F19" s="355" t="s">
        <v>711</v>
      </c>
      <c r="G19" s="550" t="s">
        <v>712</v>
      </c>
      <c r="H19" s="355">
        <v>122</v>
      </c>
      <c r="I19" s="551"/>
      <c r="J19" s="552">
        <v>1700</v>
      </c>
      <c r="K19" s="553"/>
      <c r="L19" s="541" t="s">
        <v>713</v>
      </c>
    </row>
    <row r="20" spans="3:12" ht="15.75" thickTop="1">
      <c r="C20" s="349"/>
      <c r="D20" s="204"/>
      <c r="E20" s="204"/>
      <c r="F20" s="350"/>
      <c r="G20" s="204"/>
      <c r="H20" s="204"/>
      <c r="I20" s="351"/>
      <c r="J20" s="352">
        <f>SUM(J6:J19)</f>
        <v>18637</v>
      </c>
      <c r="K20" s="353"/>
    </row>
    <row r="21" spans="3:12">
      <c r="C21" s="343">
        <v>15</v>
      </c>
      <c r="D21" s="172" t="s">
        <v>307</v>
      </c>
      <c r="E21" s="172" t="s">
        <v>320</v>
      </c>
      <c r="F21" s="168" t="s">
        <v>523</v>
      </c>
      <c r="G21" s="172" t="s">
        <v>338</v>
      </c>
      <c r="H21" s="172">
        <v>443</v>
      </c>
      <c r="I21" s="173" t="s">
        <v>308</v>
      </c>
      <c r="J21" s="538">
        <v>1146</v>
      </c>
      <c r="K21" s="170"/>
    </row>
    <row r="22" spans="3:12">
      <c r="C22" s="169">
        <v>16</v>
      </c>
      <c r="D22" s="168" t="s">
        <v>336</v>
      </c>
      <c r="E22" s="168" t="s">
        <v>306</v>
      </c>
      <c r="F22" s="168" t="s">
        <v>335</v>
      </c>
      <c r="G22" s="172" t="s">
        <v>334</v>
      </c>
      <c r="H22" s="172">
        <v>443</v>
      </c>
      <c r="I22" s="173"/>
      <c r="J22" s="538">
        <v>1146</v>
      </c>
      <c r="K22" s="166"/>
    </row>
    <row r="23" spans="3:12">
      <c r="C23" s="169">
        <v>17</v>
      </c>
      <c r="D23" s="172" t="s">
        <v>325</v>
      </c>
      <c r="E23" s="172" t="s">
        <v>324</v>
      </c>
      <c r="F23" s="168" t="s">
        <v>323</v>
      </c>
      <c r="G23" s="172" t="s">
        <v>322</v>
      </c>
      <c r="H23" s="172">
        <v>443</v>
      </c>
      <c r="I23" s="171"/>
      <c r="J23" s="538">
        <v>1146</v>
      </c>
      <c r="K23" s="170"/>
    </row>
    <row r="24" spans="3:12">
      <c r="C24" s="169">
        <v>18</v>
      </c>
      <c r="D24" s="172" t="s">
        <v>744</v>
      </c>
      <c r="E24" s="172" t="s">
        <v>745</v>
      </c>
      <c r="F24" s="168" t="s">
        <v>746</v>
      </c>
      <c r="G24" s="172" t="s">
        <v>319</v>
      </c>
      <c r="H24" s="172">
        <v>443</v>
      </c>
      <c r="I24" s="167"/>
      <c r="J24" s="538">
        <v>1146</v>
      </c>
      <c r="K24" s="166"/>
      <c r="L24" s="262">
        <v>44348</v>
      </c>
    </row>
    <row r="25" spans="3:12">
      <c r="C25" s="343">
        <v>19</v>
      </c>
      <c r="D25" s="172" t="s">
        <v>313</v>
      </c>
      <c r="E25" s="172" t="s">
        <v>312</v>
      </c>
      <c r="F25" s="168" t="s">
        <v>311</v>
      </c>
      <c r="G25" s="172" t="s">
        <v>310</v>
      </c>
      <c r="H25" s="172">
        <v>443</v>
      </c>
      <c r="I25" s="171"/>
      <c r="J25" s="538">
        <v>1146</v>
      </c>
      <c r="K25" s="166"/>
    </row>
    <row r="26" spans="3:12">
      <c r="C26" s="343">
        <v>20</v>
      </c>
      <c r="D26" s="344" t="s">
        <v>307</v>
      </c>
      <c r="E26" s="344" t="s">
        <v>747</v>
      </c>
      <c r="F26" s="344" t="s">
        <v>748</v>
      </c>
      <c r="G26" s="172" t="s">
        <v>305</v>
      </c>
      <c r="H26" s="172">
        <v>443</v>
      </c>
      <c r="I26" s="171"/>
      <c r="J26" s="538">
        <v>1146</v>
      </c>
      <c r="K26" s="166"/>
    </row>
    <row r="27" spans="3:12" ht="15.75" thickBot="1">
      <c r="C27" s="361">
        <v>21</v>
      </c>
      <c r="D27" s="355" t="s">
        <v>304</v>
      </c>
      <c r="E27" s="355" t="s">
        <v>303</v>
      </c>
      <c r="F27" s="354" t="s">
        <v>302</v>
      </c>
      <c r="G27" s="355" t="s">
        <v>301</v>
      </c>
      <c r="H27" s="355">
        <v>443</v>
      </c>
      <c r="I27" s="362"/>
      <c r="J27" s="552">
        <v>1146</v>
      </c>
      <c r="K27" s="363"/>
      <c r="L27" s="274"/>
    </row>
    <row r="28" spans="3:12" ht="15.75" thickTop="1">
      <c r="C28" s="349"/>
      <c r="D28" s="204"/>
      <c r="E28" s="204"/>
      <c r="F28" s="350"/>
      <c r="G28" s="204"/>
      <c r="H28" s="204"/>
      <c r="I28" s="360"/>
      <c r="J28" s="596"/>
      <c r="K28" s="358"/>
      <c r="L28" s="274"/>
    </row>
    <row r="29" spans="3:12">
      <c r="C29" s="349"/>
      <c r="D29" s="204"/>
      <c r="E29" s="204"/>
      <c r="F29" s="350"/>
      <c r="G29" s="204"/>
      <c r="H29" s="204"/>
      <c r="I29" s="360"/>
      <c r="J29" s="364">
        <f>SUM(J21:J27)</f>
        <v>8022</v>
      </c>
      <c r="K29" s="358"/>
      <c r="L29" s="274"/>
    </row>
    <row r="30" spans="3:12">
      <c r="C30" s="349"/>
      <c r="D30" s="204"/>
      <c r="E30" s="204"/>
      <c r="F30" s="350"/>
      <c r="G30" s="204"/>
      <c r="H30" s="204"/>
      <c r="I30" s="360"/>
      <c r="J30" s="359"/>
      <c r="K30" s="358"/>
      <c r="L30" s="274"/>
    </row>
    <row r="31" spans="3:12">
      <c r="C31" s="370">
        <v>22</v>
      </c>
      <c r="D31" s="172" t="s">
        <v>296</v>
      </c>
      <c r="E31" s="172" t="s">
        <v>333</v>
      </c>
      <c r="F31" s="168" t="s">
        <v>332</v>
      </c>
      <c r="G31" s="172" t="s">
        <v>331</v>
      </c>
      <c r="H31" s="168">
        <v>445</v>
      </c>
      <c r="I31" s="167" t="s">
        <v>541</v>
      </c>
      <c r="J31" s="253">
        <v>1136</v>
      </c>
      <c r="K31" s="166"/>
    </row>
    <row r="32" spans="3:12">
      <c r="C32" s="356"/>
      <c r="D32" s="204"/>
      <c r="E32" s="204"/>
      <c r="F32" s="350"/>
      <c r="G32" s="204"/>
      <c r="H32" s="350"/>
      <c r="I32" s="357"/>
      <c r="J32" s="364">
        <f>SUM(J31)</f>
        <v>1136</v>
      </c>
      <c r="K32" s="358"/>
    </row>
    <row r="33" spans="3:11" ht="11.25" customHeight="1">
      <c r="C33" s="356"/>
      <c r="D33" s="204"/>
      <c r="E33" s="204"/>
      <c r="F33" s="350"/>
      <c r="G33" s="204"/>
      <c r="H33" s="350"/>
      <c r="I33" s="357"/>
      <c r="J33" s="365"/>
      <c r="K33" s="358"/>
    </row>
    <row r="34" spans="3:11" ht="15.75" thickBot="1">
      <c r="C34" s="234"/>
      <c r="D34" s="234"/>
      <c r="E34" s="234"/>
      <c r="F34" s="234"/>
      <c r="G34" s="234"/>
      <c r="H34" s="366"/>
      <c r="I34" s="366"/>
      <c r="J34" s="367">
        <f>J20+J29+J32</f>
        <v>27795</v>
      </c>
      <c r="K34" s="368"/>
    </row>
    <row r="35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6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6"/>
  <sheetViews>
    <sheetView workbookViewId="0">
      <selection activeCell="D16" sqref="D16"/>
    </sheetView>
  </sheetViews>
  <sheetFormatPr baseColWidth="10" defaultRowHeight="15"/>
  <cols>
    <col min="4" max="4" width="15.4257812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714" t="s">
        <v>734</v>
      </c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6"/>
    </row>
    <row r="2" spans="2:16" ht="15.75">
      <c r="B2" s="717" t="s">
        <v>389</v>
      </c>
      <c r="C2" s="717"/>
      <c r="D2" s="717"/>
      <c r="E2" s="178" t="s">
        <v>149</v>
      </c>
      <c r="F2" s="179"/>
      <c r="G2" s="179"/>
      <c r="H2" s="179"/>
      <c r="I2" s="179"/>
      <c r="J2" s="179"/>
      <c r="K2" s="180"/>
      <c r="L2" s="288"/>
      <c r="M2" s="179"/>
      <c r="N2" s="179"/>
    </row>
    <row r="3" spans="2:16" ht="15.75">
      <c r="B3" s="371" t="s">
        <v>150</v>
      </c>
      <c r="C3" s="181"/>
      <c r="D3" s="181"/>
      <c r="E3" s="181"/>
      <c r="F3" s="181"/>
      <c r="G3" s="182" t="s">
        <v>28</v>
      </c>
      <c r="H3" s="718" t="s">
        <v>54</v>
      </c>
      <c r="I3" s="719"/>
      <c r="J3" s="183"/>
      <c r="K3" s="184" t="s">
        <v>55</v>
      </c>
      <c r="L3" s="185"/>
      <c r="M3" s="279"/>
      <c r="N3" s="279"/>
    </row>
    <row r="4" spans="2:16" ht="15.75" customHeight="1">
      <c r="B4" s="372" t="s">
        <v>151</v>
      </c>
      <c r="C4" s="720" t="s">
        <v>46</v>
      </c>
      <c r="D4" s="721"/>
      <c r="E4" s="721"/>
      <c r="F4" s="186"/>
      <c r="G4" s="401"/>
      <c r="H4" s="381" t="s">
        <v>3</v>
      </c>
      <c r="I4" s="382" t="s">
        <v>152</v>
      </c>
      <c r="J4" s="383" t="s">
        <v>61</v>
      </c>
      <c r="K4" s="384" t="s">
        <v>390</v>
      </c>
      <c r="L4" s="385" t="s">
        <v>153</v>
      </c>
      <c r="M4" s="282" t="s">
        <v>581</v>
      </c>
      <c r="N4" s="280"/>
    </row>
    <row r="5" spans="2:16" ht="15.75">
      <c r="B5" s="373" t="s">
        <v>154</v>
      </c>
      <c r="C5" s="374" t="s">
        <v>47</v>
      </c>
      <c r="D5" s="375" t="s">
        <v>48</v>
      </c>
      <c r="E5" s="375" t="s">
        <v>49</v>
      </c>
      <c r="F5" s="375" t="s">
        <v>50</v>
      </c>
      <c r="G5" s="376" t="s">
        <v>51</v>
      </c>
      <c r="H5" s="377" t="s">
        <v>391</v>
      </c>
      <c r="I5" s="378" t="s">
        <v>158</v>
      </c>
      <c r="J5" s="379" t="s">
        <v>159</v>
      </c>
      <c r="K5" s="380" t="s">
        <v>391</v>
      </c>
      <c r="L5" s="375" t="s">
        <v>161</v>
      </c>
      <c r="M5" s="281" t="s">
        <v>580</v>
      </c>
      <c r="N5" s="281" t="s">
        <v>510</v>
      </c>
    </row>
    <row r="6" spans="2:16">
      <c r="B6" s="187" t="s">
        <v>392</v>
      </c>
      <c r="C6" s="187"/>
      <c r="D6" s="187"/>
      <c r="E6" s="187"/>
      <c r="F6" s="188"/>
      <c r="G6" s="188"/>
      <c r="H6" s="189"/>
      <c r="I6" s="189"/>
      <c r="J6" s="188"/>
      <c r="K6" s="189"/>
      <c r="L6" s="188"/>
      <c r="M6" s="188"/>
      <c r="N6" s="188"/>
    </row>
    <row r="7" spans="2:16" ht="36.75">
      <c r="B7" s="172">
        <v>1</v>
      </c>
      <c r="C7" s="168" t="s">
        <v>531</v>
      </c>
      <c r="D7" s="168" t="s">
        <v>588</v>
      </c>
      <c r="E7" s="168" t="s">
        <v>589</v>
      </c>
      <c r="F7" s="251" t="s">
        <v>637</v>
      </c>
      <c r="G7" s="172"/>
      <c r="H7" s="253">
        <v>5480.6</v>
      </c>
      <c r="I7" s="170">
        <f>H7</f>
        <v>5480.6</v>
      </c>
      <c r="J7" s="190"/>
      <c r="K7" s="170">
        <v>55.76</v>
      </c>
      <c r="L7" s="191">
        <f>I7+J7-K7</f>
        <v>5424.84</v>
      </c>
      <c r="M7" s="286"/>
      <c r="N7" s="191">
        <f t="shared" ref="N7:N10" si="0">SUM(L7-M7)</f>
        <v>5424.84</v>
      </c>
      <c r="O7" s="192"/>
    </row>
    <row r="8" spans="2:16" ht="36.75">
      <c r="B8" s="172">
        <v>2</v>
      </c>
      <c r="C8" s="172" t="s">
        <v>198</v>
      </c>
      <c r="D8" s="172" t="s">
        <v>393</v>
      </c>
      <c r="E8" s="172" t="s">
        <v>394</v>
      </c>
      <c r="F8" s="291" t="s">
        <v>690</v>
      </c>
      <c r="G8" s="172"/>
      <c r="H8" s="253">
        <v>5480.6</v>
      </c>
      <c r="I8" s="253">
        <f>H8</f>
        <v>5480.6</v>
      </c>
      <c r="J8" s="190"/>
      <c r="K8" s="253">
        <v>55.76</v>
      </c>
      <c r="L8" s="191">
        <f>I8+J8-K8</f>
        <v>5424.84</v>
      </c>
      <c r="M8" s="278"/>
      <c r="N8" s="277">
        <f t="shared" si="0"/>
        <v>5424.84</v>
      </c>
      <c r="O8" s="192"/>
    </row>
    <row r="9" spans="2:16">
      <c r="B9" s="193">
        <v>3</v>
      </c>
      <c r="C9" s="193" t="s">
        <v>85</v>
      </c>
      <c r="D9" s="172" t="s">
        <v>86</v>
      </c>
      <c r="E9" s="172" t="s">
        <v>395</v>
      </c>
      <c r="F9" s="172" t="s">
        <v>396</v>
      </c>
      <c r="G9" s="172" t="s">
        <v>397</v>
      </c>
      <c r="H9" s="253">
        <v>2435.5500000000002</v>
      </c>
      <c r="I9" s="253">
        <f>H9</f>
        <v>2435.5500000000002</v>
      </c>
      <c r="J9" s="190">
        <v>276.87</v>
      </c>
      <c r="K9" s="253"/>
      <c r="L9" s="191">
        <f t="shared" ref="L9" si="1">I9+J9</f>
        <v>2712.42</v>
      </c>
      <c r="M9" s="278"/>
      <c r="N9" s="277">
        <f t="shared" si="0"/>
        <v>2712.42</v>
      </c>
      <c r="O9" s="192"/>
    </row>
    <row r="10" spans="2:16" ht="15.75" thickBot="1">
      <c r="B10" s="193"/>
      <c r="C10" s="172"/>
      <c r="D10" s="172"/>
      <c r="E10" s="172"/>
      <c r="F10" s="291"/>
      <c r="G10" s="172"/>
      <c r="H10" s="253"/>
      <c r="I10" s="253"/>
      <c r="J10" s="190"/>
      <c r="K10" s="253"/>
      <c r="L10" s="388"/>
      <c r="M10" s="287"/>
      <c r="N10" s="283">
        <f t="shared" si="0"/>
        <v>0</v>
      </c>
      <c r="O10" s="263"/>
      <c r="P10" t="s">
        <v>613</v>
      </c>
    </row>
    <row r="11" spans="2:16" ht="15.75" thickBot="1">
      <c r="B11" s="194" t="s">
        <v>398</v>
      </c>
      <c r="C11" s="195"/>
      <c r="D11" s="196"/>
      <c r="E11" s="196"/>
      <c r="F11" s="196"/>
      <c r="G11" s="196"/>
      <c r="H11" s="197">
        <f>SUM(H7:H10)</f>
        <v>13396.75</v>
      </c>
      <c r="I11" s="197">
        <f>SUM(I7:I10)</f>
        <v>13396.75</v>
      </c>
      <c r="J11" s="250">
        <f>SUM(J7:J10)</f>
        <v>276.87</v>
      </c>
      <c r="K11" s="276">
        <f>SUM(K7:K9)</f>
        <v>111.52</v>
      </c>
      <c r="L11" s="284">
        <f>SUM(L7:L10)</f>
        <v>13562.1</v>
      </c>
      <c r="M11" s="284">
        <f>SUM(M7:M10)</f>
        <v>0</v>
      </c>
      <c r="N11" s="285">
        <f>SUM(N7:N10)</f>
        <v>13562.1</v>
      </c>
    </row>
    <row r="12" spans="2:16">
      <c r="B12" s="198"/>
      <c r="C12" s="199"/>
      <c r="D12" s="196"/>
      <c r="E12" s="196"/>
      <c r="F12" s="196"/>
      <c r="G12" s="196"/>
      <c r="H12" s="200"/>
      <c r="I12" s="200"/>
      <c r="J12" s="196"/>
      <c r="K12" s="201"/>
      <c r="L12" s="200"/>
      <c r="M12" s="200"/>
      <c r="N12" s="200"/>
    </row>
    <row r="13" spans="2:16">
      <c r="B13" s="198"/>
      <c r="C13" s="199"/>
      <c r="D13" s="196"/>
      <c r="E13" s="196"/>
      <c r="F13" s="196"/>
      <c r="G13" s="196"/>
      <c r="H13" s="200"/>
      <c r="I13" s="200"/>
      <c r="J13" s="196"/>
      <c r="K13" s="201"/>
      <c r="L13" s="200"/>
      <c r="M13" s="200"/>
      <c r="N13" s="200"/>
    </row>
    <row r="14" spans="2:16">
      <c r="C14" s="202"/>
      <c r="D14" s="202"/>
      <c r="F14" s="722"/>
      <c r="G14" s="722"/>
      <c r="I14" s="722"/>
      <c r="J14" s="722"/>
      <c r="K14" s="722"/>
    </row>
    <row r="15" spans="2:16">
      <c r="C15" s="203" t="s">
        <v>693</v>
      </c>
      <c r="D15" s="203"/>
      <c r="E15" s="203"/>
      <c r="F15" s="582" t="s">
        <v>716</v>
      </c>
      <c r="G15" s="203"/>
      <c r="H15" s="203"/>
      <c r="I15" s="583" t="s">
        <v>717</v>
      </c>
      <c r="J15" s="581"/>
      <c r="K15" s="205"/>
    </row>
    <row r="16" spans="2:16">
      <c r="C16" s="203" t="s">
        <v>714</v>
      </c>
      <c r="D16" s="203"/>
      <c r="E16" s="203"/>
      <c r="F16" s="203" t="s">
        <v>400</v>
      </c>
      <c r="G16" s="203"/>
      <c r="H16" s="203"/>
      <c r="I16" s="203" t="s">
        <v>401</v>
      </c>
      <c r="J16" s="204"/>
      <c r="K16" s="204"/>
      <c r="L16" s="213"/>
      <c r="M16" s="213"/>
      <c r="N16" s="213"/>
    </row>
    <row r="17" spans="3:14">
      <c r="C17" s="203"/>
      <c r="D17" s="203"/>
      <c r="E17" s="203"/>
      <c r="F17" s="203"/>
      <c r="G17" s="203"/>
      <c r="H17" s="203"/>
      <c r="I17" s="203"/>
      <c r="J17" s="204"/>
      <c r="K17" s="204"/>
      <c r="L17" s="213"/>
      <c r="M17" s="213"/>
      <c r="N17" s="213"/>
    </row>
    <row r="18" spans="3:14">
      <c r="L18" s="213">
        <f>I11+J11-K11</f>
        <v>13562.1</v>
      </c>
      <c r="M18" s="213"/>
      <c r="N18" s="213">
        <f>L11-M11</f>
        <v>13562.1</v>
      </c>
    </row>
    <row r="19" spans="3:14">
      <c r="L19" s="213">
        <f>L11-L18</f>
        <v>0</v>
      </c>
      <c r="M19" s="213"/>
      <c r="N19" s="213"/>
    </row>
    <row r="26" spans="3:14">
      <c r="C26" s="555" t="s">
        <v>702</v>
      </c>
    </row>
  </sheetData>
  <mergeCells count="6">
    <mergeCell ref="B1:N1"/>
    <mergeCell ref="B2:D2"/>
    <mergeCell ref="H3:I3"/>
    <mergeCell ref="C4:E4"/>
    <mergeCell ref="F14:G14"/>
    <mergeCell ref="I14:K14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27" customWidth="1"/>
    <col min="15" max="15" width="11.42578125" customWidth="1"/>
  </cols>
  <sheetData>
    <row r="1" spans="1:12" ht="12.75" customHeight="1"/>
    <row r="2" spans="1:12" ht="12.75" customHeight="1">
      <c r="C2" s="698" t="s">
        <v>440</v>
      </c>
      <c r="D2" s="698"/>
      <c r="E2" s="698"/>
      <c r="G2" s="207" t="s">
        <v>441</v>
      </c>
    </row>
    <row r="3" spans="1:12" ht="15" customHeight="1">
      <c r="A3" s="207" t="s">
        <v>647</v>
      </c>
      <c r="B3" s="207"/>
      <c r="C3" s="207"/>
      <c r="D3" s="207"/>
      <c r="E3" s="207"/>
    </row>
    <row r="4" spans="1:12" ht="12.75" customHeight="1">
      <c r="A4" s="207">
        <v>2020</v>
      </c>
      <c r="B4" s="207"/>
      <c r="C4" s="698" t="s">
        <v>439</v>
      </c>
      <c r="D4" s="698"/>
      <c r="E4" s="698"/>
      <c r="G4" s="272">
        <v>0.52222222222222225</v>
      </c>
    </row>
    <row r="5" spans="1:12" ht="12.75" customHeight="1">
      <c r="A5" s="207"/>
      <c r="B5" s="207"/>
      <c r="C5" s="207"/>
      <c r="D5" s="207"/>
      <c r="E5" s="207"/>
    </row>
    <row r="6" spans="1:12" ht="12.75" customHeight="1"/>
    <row r="7" spans="1:12" ht="15.75" thickBot="1">
      <c r="A7" s="226" t="s">
        <v>438</v>
      </c>
      <c r="B7" s="226" t="s">
        <v>647</v>
      </c>
      <c r="C7" s="226" t="s">
        <v>648</v>
      </c>
      <c r="D7" s="207"/>
      <c r="E7" s="225" t="s">
        <v>435</v>
      </c>
      <c r="F7" s="225" t="s">
        <v>436</v>
      </c>
      <c r="G7" s="225" t="s">
        <v>437</v>
      </c>
      <c r="H7" s="236" t="s">
        <v>423</v>
      </c>
      <c r="J7" s="236" t="s">
        <v>520</v>
      </c>
    </row>
    <row r="8" spans="1:12">
      <c r="A8" s="217" t="s">
        <v>418</v>
      </c>
      <c r="B8" s="397">
        <f>C8*2</f>
        <v>247400</v>
      </c>
      <c r="C8" s="240">
        <f>REGIDORES!G18</f>
        <v>123700</v>
      </c>
      <c r="D8" s="211"/>
      <c r="E8" s="220">
        <f t="shared" ref="E8:E13" si="0">C8</f>
        <v>123700</v>
      </c>
      <c r="F8" s="221"/>
      <c r="G8" s="221"/>
    </row>
    <row r="9" spans="1:12">
      <c r="A9" s="217" t="s">
        <v>419</v>
      </c>
      <c r="B9" s="397">
        <f t="shared" ref="B9:B13" si="1">C9*2</f>
        <v>569480.91999999993</v>
      </c>
      <c r="C9" s="240">
        <f>BASE!H185</f>
        <v>284740.45999999996</v>
      </c>
      <c r="D9" s="211"/>
      <c r="E9" s="213">
        <f t="shared" si="0"/>
        <v>284740.45999999996</v>
      </c>
    </row>
    <row r="10" spans="1:12">
      <c r="A10" s="217" t="s">
        <v>420</v>
      </c>
      <c r="B10" s="397">
        <f t="shared" si="1"/>
        <v>0</v>
      </c>
      <c r="C10" s="240"/>
      <c r="D10" s="211"/>
      <c r="E10" s="213">
        <f t="shared" si="0"/>
        <v>0</v>
      </c>
    </row>
    <row r="11" spans="1:12">
      <c r="A11" s="217" t="s">
        <v>421</v>
      </c>
      <c r="B11" s="397">
        <f t="shared" si="1"/>
        <v>0</v>
      </c>
      <c r="C11" s="240"/>
      <c r="D11" s="211"/>
      <c r="E11" s="213">
        <f t="shared" si="0"/>
        <v>0</v>
      </c>
    </row>
    <row r="12" spans="1:12">
      <c r="A12" s="217" t="s">
        <v>422</v>
      </c>
      <c r="B12" s="397">
        <f t="shared" si="1"/>
        <v>168162</v>
      </c>
      <c r="C12" s="240">
        <f>'NOMINA TRAB.EVENTUALES'!M35</f>
        <v>84081</v>
      </c>
      <c r="D12" s="211"/>
      <c r="E12" s="213">
        <f t="shared" si="0"/>
        <v>84081</v>
      </c>
    </row>
    <row r="13" spans="1:12">
      <c r="A13" s="217" t="s">
        <v>423</v>
      </c>
      <c r="B13" s="397">
        <f t="shared" si="1"/>
        <v>379265.2</v>
      </c>
      <c r="C13" s="240">
        <f>'NOMINA ORD. DE PAGO QUINCENAL'!I71</f>
        <v>189632.6</v>
      </c>
      <c r="D13" s="218"/>
      <c r="E13" s="214">
        <f t="shared" si="0"/>
        <v>189632.6</v>
      </c>
      <c r="J13" s="227"/>
    </row>
    <row r="14" spans="1:12">
      <c r="A14" s="217" t="s">
        <v>424</v>
      </c>
      <c r="B14" s="397">
        <f>C14</f>
        <v>27795</v>
      </c>
      <c r="C14" s="240">
        <f>'PAGO TRAB.MENSUALES'!J34</f>
        <v>27795</v>
      </c>
      <c r="D14" s="211"/>
      <c r="F14" s="213">
        <f>C14</f>
        <v>27795</v>
      </c>
    </row>
    <row r="15" spans="1:12">
      <c r="A15" s="217" t="s">
        <v>425</v>
      </c>
      <c r="B15" s="397">
        <f>C15</f>
        <v>20060.400000000001</v>
      </c>
      <c r="C15" s="163">
        <v>20060.400000000001</v>
      </c>
      <c r="D15" s="211"/>
      <c r="E15" s="227"/>
      <c r="F15" s="213"/>
      <c r="G15" s="213">
        <f>'PAGO SEMANAL'!C11</f>
        <v>5015.1000000000004</v>
      </c>
      <c r="H15" s="227"/>
    </row>
    <row r="16" spans="1:12">
      <c r="A16" s="217" t="s">
        <v>348</v>
      </c>
      <c r="B16" s="397">
        <f>C16*2</f>
        <v>47214</v>
      </c>
      <c r="C16" s="240">
        <f>'NOMINA PENSIONADOS'!K14</f>
        <v>23607</v>
      </c>
      <c r="D16" s="211"/>
      <c r="E16" s="213"/>
      <c r="L16" s="227">
        <v>20060.400000000001</v>
      </c>
    </row>
    <row r="17" spans="1:12" ht="15.75" thickBot="1">
      <c r="A17" s="217" t="s">
        <v>426</v>
      </c>
      <c r="B17" s="397" t="e">
        <f>C17</f>
        <v>#REF!</v>
      </c>
      <c r="C17" s="163" t="e">
        <f>#REF!</f>
        <v>#REF!</v>
      </c>
      <c r="D17" s="211"/>
      <c r="E17" s="222"/>
      <c r="F17" s="223" t="e">
        <f>C17</f>
        <v>#REF!</v>
      </c>
      <c r="G17" s="222"/>
      <c r="H17" s="294" t="e">
        <f>#REF!</f>
        <v>#REF!</v>
      </c>
      <c r="L17" s="227">
        <v>214092</v>
      </c>
    </row>
    <row r="18" spans="1:12" ht="15.75" thickTop="1">
      <c r="A18" s="217"/>
      <c r="B18" s="398" t="e">
        <f>SUM(B8:B17)</f>
        <v>#REF!</v>
      </c>
      <c r="C18" s="215" t="e">
        <f>SUM(C8:C17)</f>
        <v>#REF!</v>
      </c>
      <c r="D18" s="219"/>
      <c r="E18" s="216">
        <f>SUM(E8:E17)</f>
        <v>682154.05999999994</v>
      </c>
      <c r="F18" s="216" t="e">
        <f>SUM(F8:F17)</f>
        <v>#REF!</v>
      </c>
      <c r="G18" s="216">
        <f>SUM(G8:G17)</f>
        <v>5015.1000000000004</v>
      </c>
      <c r="H18" s="295" t="e">
        <f>SUM(H8:H17)</f>
        <v>#REF!</v>
      </c>
      <c r="I18" s="213"/>
      <c r="L18" s="227">
        <v>595306</v>
      </c>
    </row>
    <row r="19" spans="1:12" ht="15.75" thickBot="1">
      <c r="C19" s="164"/>
      <c r="D19" s="164"/>
      <c r="L19" s="227">
        <v>160976.28</v>
      </c>
    </row>
    <row r="20" spans="1:12" ht="15.75" thickBot="1">
      <c r="F20" s="224" t="e">
        <f>E18+F18+G18</f>
        <v>#REF!</v>
      </c>
      <c r="L20" s="227">
        <v>52897.279999999999</v>
      </c>
    </row>
    <row r="21" spans="1:12">
      <c r="F21" s="213"/>
      <c r="L21" s="227">
        <v>364731.92</v>
      </c>
    </row>
    <row r="22" spans="1:12">
      <c r="C22" t="s">
        <v>518</v>
      </c>
      <c r="E22" s="213" t="e">
        <f>E8+E9+E12+E13+F14+G15+H15+E16+F17</f>
        <v>#REF!</v>
      </c>
      <c r="L22" s="227">
        <v>23990</v>
      </c>
    </row>
    <row r="23" spans="1:12">
      <c r="C23" s="202" t="s">
        <v>519</v>
      </c>
      <c r="D23" s="252"/>
      <c r="E23" s="252">
        <f>E10+E11</f>
        <v>0</v>
      </c>
      <c r="L23" s="227">
        <v>25762.080000000002</v>
      </c>
    </row>
    <row r="24" spans="1:12">
      <c r="D24" s="213"/>
      <c r="E24" s="293" t="e">
        <f>SUM(E22:E23)</f>
        <v>#REF!</v>
      </c>
      <c r="L24" s="227">
        <f>SUM(L16:L23)</f>
        <v>1457815.9600000002</v>
      </c>
    </row>
    <row r="25" spans="1:12">
      <c r="D25" s="213"/>
      <c r="E25" s="213"/>
    </row>
    <row r="26" spans="1:12">
      <c r="E26" s="213"/>
    </row>
    <row r="27" spans="1:12">
      <c r="E27" s="213"/>
    </row>
    <row r="28" spans="1:12">
      <c r="C28" s="202"/>
      <c r="D28" s="202"/>
      <c r="E28" s="252"/>
    </row>
    <row r="29" spans="1:12">
      <c r="E29" s="213"/>
    </row>
    <row r="31" spans="1:12">
      <c r="A31" s="208"/>
      <c r="E31" s="237"/>
      <c r="F31" s="213"/>
    </row>
    <row r="32" spans="1:12">
      <c r="A32" s="207"/>
      <c r="B32" s="207"/>
      <c r="C32" s="207"/>
      <c r="D32" s="207"/>
      <c r="E32" s="213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199"/>
  <sheetViews>
    <sheetView topLeftCell="J145" workbookViewId="0">
      <selection activeCell="N179" sqref="N179"/>
    </sheetView>
  </sheetViews>
  <sheetFormatPr baseColWidth="10" defaultRowHeight="11.25"/>
  <cols>
    <col min="1" max="1" width="2.140625" style="15" customWidth="1"/>
    <col min="2" max="2" width="6.42578125" style="35" customWidth="1"/>
    <col min="3" max="3" width="32.5703125" style="15" customWidth="1"/>
    <col min="4" max="4" width="27.42578125" style="15" customWidth="1"/>
    <col min="5" max="5" width="12.140625" style="305" hidden="1" customWidth="1"/>
    <col min="6" max="6" width="13.5703125" style="15" customWidth="1"/>
    <col min="7" max="7" width="10.85546875" style="15" customWidth="1"/>
    <col min="8" max="8" width="15.5703125" style="15" customWidth="1"/>
    <col min="9" max="9" width="9.42578125" style="15" customWidth="1"/>
    <col min="10" max="10" width="11.7109375" style="15" customWidth="1"/>
    <col min="11" max="12" width="12.42578125" style="15" customWidth="1"/>
    <col min="13" max="14" width="16.5703125" style="15" customWidth="1"/>
    <col min="15" max="15" width="36.42578125" style="15" customWidth="1"/>
    <col min="16" max="16384" width="11.42578125" style="15"/>
  </cols>
  <sheetData>
    <row r="1" spans="1:15" ht="15">
      <c r="B1" s="17"/>
      <c r="C1" s="634" t="s">
        <v>28</v>
      </c>
      <c r="D1" s="634"/>
      <c r="E1" s="634"/>
      <c r="F1" s="635"/>
      <c r="G1" s="635"/>
      <c r="H1" s="635"/>
      <c r="I1" s="635"/>
      <c r="J1" s="148"/>
    </row>
    <row r="2" spans="1:15" ht="19.5">
      <c r="B2" s="640" t="s">
        <v>205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</row>
    <row r="3" spans="1:15" ht="15">
      <c r="B3" s="641" t="s">
        <v>721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</row>
    <row r="4" spans="1:15" ht="12.75">
      <c r="B4" s="16"/>
      <c r="C4" s="18" t="s">
        <v>0</v>
      </c>
      <c r="D4" s="18"/>
      <c r="E4" s="296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32.25" customHeight="1">
      <c r="B5" s="480" t="s">
        <v>1</v>
      </c>
      <c r="C5" s="421" t="s">
        <v>2</v>
      </c>
      <c r="D5" s="421" t="s">
        <v>218</v>
      </c>
      <c r="E5" s="422"/>
      <c r="F5" s="421" t="s">
        <v>3</v>
      </c>
      <c r="G5" s="421" t="s">
        <v>4</v>
      </c>
      <c r="H5" s="421" t="s">
        <v>5</v>
      </c>
      <c r="I5" s="421" t="s">
        <v>608</v>
      </c>
      <c r="J5" s="421" t="s">
        <v>553</v>
      </c>
      <c r="K5" s="421" t="s">
        <v>42</v>
      </c>
      <c r="L5" s="421" t="s">
        <v>6</v>
      </c>
      <c r="M5" s="421" t="s">
        <v>7</v>
      </c>
      <c r="N5" s="421" t="s">
        <v>751</v>
      </c>
      <c r="O5" s="421" t="s">
        <v>29</v>
      </c>
    </row>
    <row r="6" spans="1:15" ht="18" customHeight="1">
      <c r="B6" s="19" t="s">
        <v>10</v>
      </c>
      <c r="C6" s="3"/>
      <c r="D6" s="3"/>
      <c r="E6" s="297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30" customHeight="1">
      <c r="B7" s="16" t="s">
        <v>258</v>
      </c>
      <c r="C7" s="3" t="s">
        <v>574</v>
      </c>
      <c r="D7" s="8" t="s">
        <v>221</v>
      </c>
      <c r="E7" s="298">
        <f>9692/2</f>
        <v>4846</v>
      </c>
      <c r="F7" s="10">
        <v>5040</v>
      </c>
      <c r="G7" s="10">
        <v>0</v>
      </c>
      <c r="H7" s="10">
        <f>F7</f>
        <v>5040</v>
      </c>
      <c r="I7" s="416"/>
      <c r="J7" s="10"/>
      <c r="K7" s="10">
        <v>423</v>
      </c>
      <c r="L7" s="10">
        <f>K7</f>
        <v>423</v>
      </c>
      <c r="M7" s="10">
        <f>H7+I7-L7-J7</f>
        <v>4617</v>
      </c>
      <c r="N7" s="10">
        <f>M7*12</f>
        <v>55404</v>
      </c>
      <c r="O7" s="3"/>
    </row>
    <row r="8" spans="1:15" s="544" customFormat="1" ht="30" customHeight="1">
      <c r="A8" s="15"/>
      <c r="B8" s="16" t="s">
        <v>259</v>
      </c>
      <c r="C8" s="3" t="s">
        <v>691</v>
      </c>
      <c r="D8" s="8" t="s">
        <v>222</v>
      </c>
      <c r="E8" s="298">
        <f>51014/2</f>
        <v>25507</v>
      </c>
      <c r="F8" s="10">
        <v>26527</v>
      </c>
      <c r="G8" s="10">
        <v>0</v>
      </c>
      <c r="H8" s="10">
        <f>F8</f>
        <v>26527</v>
      </c>
      <c r="I8" s="10"/>
      <c r="J8" s="10"/>
      <c r="K8" s="10">
        <v>5567</v>
      </c>
      <c r="L8" s="10">
        <f t="shared" ref="L8" si="0">K8</f>
        <v>5567</v>
      </c>
      <c r="M8" s="10">
        <f>H8+I8-L8-J8</f>
        <v>20960</v>
      </c>
      <c r="N8" s="10">
        <f>M8*12</f>
        <v>251520</v>
      </c>
      <c r="O8" s="3"/>
    </row>
    <row r="9" spans="1:15" s="21" customFormat="1" ht="24.95" customHeight="1" thickBot="1">
      <c r="B9" s="499" t="s">
        <v>9</v>
      </c>
      <c r="C9" s="500"/>
      <c r="D9" s="500"/>
      <c r="E9" s="501"/>
      <c r="F9" s="528">
        <f t="shared" ref="F9:M9" si="1">SUM(F7:F8)</f>
        <v>31567</v>
      </c>
      <c r="G9" s="528">
        <f t="shared" si="1"/>
        <v>0</v>
      </c>
      <c r="H9" s="528">
        <f t="shared" si="1"/>
        <v>31567</v>
      </c>
      <c r="I9" s="528">
        <f t="shared" si="1"/>
        <v>0</v>
      </c>
      <c r="J9" s="567">
        <f>SUM(J7:J8)</f>
        <v>0</v>
      </c>
      <c r="K9" s="528">
        <f t="shared" si="1"/>
        <v>5990</v>
      </c>
      <c r="L9" s="528">
        <f t="shared" si="1"/>
        <v>5990</v>
      </c>
      <c r="M9" s="504">
        <f t="shared" si="1"/>
        <v>25577</v>
      </c>
      <c r="N9" s="504"/>
      <c r="O9" s="526"/>
    </row>
    <row r="10" spans="1:15" ht="18" customHeight="1" thickTop="1">
      <c r="B10" s="495"/>
      <c r="C10" s="38"/>
      <c r="D10" s="38"/>
      <c r="E10" s="303"/>
      <c r="F10" s="39"/>
      <c r="G10" s="39"/>
      <c r="H10" s="39"/>
      <c r="I10" s="39"/>
      <c r="J10" s="39"/>
      <c r="K10" s="39"/>
      <c r="L10" s="39"/>
      <c r="M10" s="40" t="s">
        <v>45</v>
      </c>
      <c r="N10" s="40"/>
      <c r="O10" s="38"/>
    </row>
    <row r="11" spans="1:15" ht="18" customHeight="1">
      <c r="B11" s="493" t="s">
        <v>11</v>
      </c>
      <c r="C11" s="275"/>
      <c r="D11" s="275"/>
      <c r="E11" s="494"/>
      <c r="F11" s="275"/>
      <c r="G11" s="275"/>
      <c r="H11" s="275"/>
      <c r="I11" s="275"/>
      <c r="J11" s="275"/>
      <c r="K11" s="275"/>
      <c r="L11" s="275"/>
      <c r="M11" s="275"/>
      <c r="N11" s="275"/>
      <c r="O11" s="275"/>
    </row>
    <row r="12" spans="1:15" ht="30" customHeight="1">
      <c r="B12" s="16" t="s">
        <v>260</v>
      </c>
      <c r="C12" s="3" t="s">
        <v>31</v>
      </c>
      <c r="D12" s="8" t="s">
        <v>533</v>
      </c>
      <c r="E12" s="298">
        <f>4592/2</f>
        <v>2296</v>
      </c>
      <c r="F12" s="9">
        <v>2388</v>
      </c>
      <c r="G12" s="9">
        <v>0</v>
      </c>
      <c r="H12" s="9">
        <f>F12</f>
        <v>2388</v>
      </c>
      <c r="I12" s="11">
        <v>24.04</v>
      </c>
      <c r="J12" s="11"/>
      <c r="K12" s="9"/>
      <c r="L12" s="9">
        <f>K12</f>
        <v>0</v>
      </c>
      <c r="M12" s="9">
        <f>H12+I12-L12-J12</f>
        <v>2412.04</v>
      </c>
      <c r="N12" s="10">
        <f t="shared" ref="N12:N13" si="2">M12*12</f>
        <v>28944.48</v>
      </c>
      <c r="O12" s="3"/>
    </row>
    <row r="13" spans="1:15" ht="30" customHeight="1">
      <c r="B13" s="16" t="s">
        <v>261</v>
      </c>
      <c r="C13" s="241" t="s">
        <v>524</v>
      </c>
      <c r="D13" s="8" t="s">
        <v>223</v>
      </c>
      <c r="E13" s="298">
        <f>15618/2</f>
        <v>7809</v>
      </c>
      <c r="F13" s="9">
        <v>8121</v>
      </c>
      <c r="G13" s="9">
        <v>0</v>
      </c>
      <c r="H13" s="9">
        <f>F13</f>
        <v>8121</v>
      </c>
      <c r="I13" s="9"/>
      <c r="J13" s="9"/>
      <c r="K13" s="9">
        <v>1014</v>
      </c>
      <c r="L13" s="9">
        <f>K13</f>
        <v>1014</v>
      </c>
      <c r="M13" s="9">
        <f>H13+I13-L13-J13</f>
        <v>7107</v>
      </c>
      <c r="N13" s="10">
        <f t="shared" si="2"/>
        <v>85284</v>
      </c>
      <c r="O13" s="3"/>
    </row>
    <row r="14" spans="1:15" s="21" customFormat="1" ht="18" customHeight="1" thickBot="1">
      <c r="B14" s="486" t="s">
        <v>9</v>
      </c>
      <c r="C14" s="500"/>
      <c r="D14" s="500"/>
      <c r="E14" s="501"/>
      <c r="F14" s="528">
        <f>SUM(F12:F13)</f>
        <v>10509</v>
      </c>
      <c r="G14" s="528">
        <f t="shared" ref="G14" si="3">SUM(G12:G13)</f>
        <v>0</v>
      </c>
      <c r="H14" s="528">
        <f t="shared" ref="H14:M14" si="4">SUM(H12:H13)</f>
        <v>10509</v>
      </c>
      <c r="I14" s="528">
        <f t="shared" si="4"/>
        <v>24.04</v>
      </c>
      <c r="J14" s="528">
        <f t="shared" si="4"/>
        <v>0</v>
      </c>
      <c r="K14" s="528">
        <f t="shared" si="4"/>
        <v>1014</v>
      </c>
      <c r="L14" s="528">
        <f t="shared" si="4"/>
        <v>1014</v>
      </c>
      <c r="M14" s="504">
        <f t="shared" si="4"/>
        <v>9519.0400000000009</v>
      </c>
      <c r="N14" s="504"/>
      <c r="O14" s="526"/>
    </row>
    <row r="15" spans="1:15" ht="18" customHeight="1" thickTop="1">
      <c r="B15" s="496"/>
      <c r="C15" s="38"/>
      <c r="E15" s="301"/>
      <c r="F15" s="12"/>
      <c r="G15" s="12"/>
      <c r="H15" s="12"/>
      <c r="I15" s="13"/>
      <c r="J15" s="13"/>
      <c r="K15" s="12"/>
      <c r="L15" s="12"/>
      <c r="M15" s="14" t="s">
        <v>45</v>
      </c>
      <c r="N15" s="14"/>
    </row>
    <row r="16" spans="1:15" ht="18" customHeight="1">
      <c r="B16" s="493" t="s">
        <v>12</v>
      </c>
      <c r="C16" s="497"/>
      <c r="D16" s="498"/>
      <c r="E16" s="492"/>
      <c r="F16" s="491"/>
      <c r="G16" s="491"/>
      <c r="H16" s="491"/>
      <c r="I16" s="491"/>
      <c r="J16" s="491"/>
      <c r="K16" s="491"/>
      <c r="L16" s="491"/>
      <c r="M16" s="491"/>
      <c r="N16" s="491"/>
      <c r="O16" s="32"/>
    </row>
    <row r="17" spans="2:15" ht="30" customHeight="1">
      <c r="B17" s="16" t="s">
        <v>262</v>
      </c>
      <c r="C17" s="3" t="s">
        <v>41</v>
      </c>
      <c r="D17" s="487" t="s">
        <v>224</v>
      </c>
      <c r="E17" s="488">
        <f>10942/2</f>
        <v>5471</v>
      </c>
      <c r="F17" s="489">
        <v>5690</v>
      </c>
      <c r="G17" s="489">
        <v>0</v>
      </c>
      <c r="H17" s="489">
        <f>F17</f>
        <v>5690</v>
      </c>
      <c r="I17" s="489"/>
      <c r="J17" s="489"/>
      <c r="K17" s="489">
        <v>529</v>
      </c>
      <c r="L17" s="489">
        <f>K17</f>
        <v>529</v>
      </c>
      <c r="M17" s="489">
        <f>H17+I17-L17-J17</f>
        <v>5161</v>
      </c>
      <c r="N17" s="10">
        <f>M17*12</f>
        <v>61932</v>
      </c>
      <c r="O17" s="275"/>
    </row>
    <row r="18" spans="2:15" s="21" customFormat="1" ht="18" customHeight="1" thickBot="1">
      <c r="B18" s="20" t="s">
        <v>9</v>
      </c>
      <c r="C18" s="500"/>
      <c r="D18" s="500"/>
      <c r="E18" s="501"/>
      <c r="F18" s="528">
        <f>SUM(F17)</f>
        <v>5690</v>
      </c>
      <c r="G18" s="528">
        <f t="shared" ref="G18:L18" si="5">SUM(G17)</f>
        <v>0</v>
      </c>
      <c r="H18" s="528">
        <f>SUM(H17)</f>
        <v>5690</v>
      </c>
      <c r="I18" s="528">
        <f t="shared" si="5"/>
        <v>0</v>
      </c>
      <c r="J18" s="528">
        <f>SUM(J17)</f>
        <v>0</v>
      </c>
      <c r="K18" s="528">
        <f>SUM(K17)</f>
        <v>529</v>
      </c>
      <c r="L18" s="528">
        <f t="shared" si="5"/>
        <v>529</v>
      </c>
      <c r="M18" s="504">
        <f>SUM(M17)</f>
        <v>5161</v>
      </c>
      <c r="N18" s="504"/>
      <c r="O18" s="526"/>
    </row>
    <row r="19" spans="2:15" ht="18" customHeight="1" thickTop="1">
      <c r="C19" s="148"/>
      <c r="E19" s="301"/>
      <c r="F19" s="12"/>
      <c r="G19" s="12"/>
      <c r="H19" s="12"/>
      <c r="I19" s="12"/>
      <c r="J19" s="12"/>
      <c r="K19" s="12"/>
      <c r="L19" s="12"/>
      <c r="M19" s="14" t="s">
        <v>45</v>
      </c>
      <c r="N19" s="14"/>
    </row>
    <row r="20" spans="2:15" ht="18" customHeight="1">
      <c r="E20" s="301"/>
      <c r="J20" s="120"/>
    </row>
    <row r="21" spans="2:15" ht="18" customHeight="1">
      <c r="B21" s="490" t="s">
        <v>13</v>
      </c>
      <c r="C21" s="491"/>
      <c r="D21" s="491"/>
      <c r="E21" s="492"/>
      <c r="F21" s="491"/>
      <c r="G21" s="491"/>
      <c r="H21" s="491"/>
      <c r="I21" s="491"/>
      <c r="J21" s="491"/>
      <c r="K21" s="491"/>
      <c r="L21" s="491"/>
      <c r="M21" s="491"/>
      <c r="N21" s="491"/>
      <c r="O21" s="491"/>
    </row>
    <row r="22" spans="2:15" ht="30" customHeight="1">
      <c r="B22" s="577" t="s">
        <v>263</v>
      </c>
      <c r="C22" s="118" t="s">
        <v>430</v>
      </c>
      <c r="D22" s="578" t="s">
        <v>225</v>
      </c>
      <c r="E22" s="579"/>
      <c r="F22" s="580">
        <v>8121</v>
      </c>
      <c r="G22" s="580"/>
      <c r="H22" s="580">
        <f>F22</f>
        <v>8121</v>
      </c>
      <c r="I22" s="580"/>
      <c r="J22" s="580"/>
      <c r="K22" s="580">
        <v>1014</v>
      </c>
      <c r="L22" s="580">
        <f>K22+J22</f>
        <v>1014</v>
      </c>
      <c r="M22" s="580">
        <f>H22-L22</f>
        <v>7107</v>
      </c>
      <c r="N22" s="580">
        <v>251520</v>
      </c>
      <c r="O22" s="118"/>
    </row>
    <row r="23" spans="2:15" s="21" customFormat="1" ht="18" customHeight="1" thickBot="1">
      <c r="B23" s="525" t="s">
        <v>9</v>
      </c>
      <c r="C23" s="526"/>
      <c r="D23" s="526"/>
      <c r="E23" s="527"/>
      <c r="F23" s="528">
        <f>SUM(F22:F22)</f>
        <v>8121</v>
      </c>
      <c r="G23" s="528"/>
      <c r="H23" s="528">
        <f>SUM(H22:H22)</f>
        <v>8121</v>
      </c>
      <c r="I23" s="528"/>
      <c r="J23" s="528">
        <f>SUM(J22)</f>
        <v>0</v>
      </c>
      <c r="K23" s="528">
        <f>SUM(K22:K22)</f>
        <v>1014</v>
      </c>
      <c r="L23" s="528">
        <f>SUM(L22:L22)</f>
        <v>1014</v>
      </c>
      <c r="M23" s="504">
        <f>SUM(M22:M22)</f>
        <v>7107</v>
      </c>
      <c r="N23" s="504"/>
      <c r="O23" s="526"/>
    </row>
    <row r="24" spans="2:15" ht="18" customHeight="1" thickTop="1">
      <c r="E24" s="301"/>
      <c r="F24" s="12"/>
      <c r="G24" s="12"/>
      <c r="H24" s="12"/>
      <c r="I24" s="13"/>
      <c r="J24" s="13"/>
      <c r="K24" s="12"/>
      <c r="L24" s="12"/>
      <c r="M24" s="14" t="s">
        <v>45</v>
      </c>
      <c r="N24" s="14"/>
    </row>
    <row r="25" spans="2:15" ht="18" customHeight="1">
      <c r="C25" s="642"/>
      <c r="D25" s="642"/>
      <c r="E25" s="642"/>
      <c r="F25" s="635"/>
      <c r="G25" s="635"/>
      <c r="H25" s="635"/>
      <c r="I25" s="635"/>
      <c r="J25" s="148"/>
    </row>
    <row r="26" spans="2:15" ht="18" customHeight="1">
      <c r="B26" s="643" t="s">
        <v>205</v>
      </c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5"/>
    </row>
    <row r="27" spans="2:15" ht="18" customHeight="1">
      <c r="B27" s="628" t="s">
        <v>722</v>
      </c>
      <c r="C27" s="629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30"/>
    </row>
    <row r="28" spans="2:15" ht="18" customHeight="1">
      <c r="B28" s="24"/>
      <c r="C28" s="25" t="s">
        <v>0</v>
      </c>
      <c r="D28" s="25"/>
      <c r="E28" s="299"/>
      <c r="O28" s="26"/>
    </row>
    <row r="29" spans="2:15" ht="18" customHeight="1">
      <c r="B29" s="30" t="s">
        <v>536</v>
      </c>
      <c r="C29" s="25"/>
      <c r="D29" s="25"/>
      <c r="E29" s="299"/>
      <c r="O29" s="26"/>
    </row>
    <row r="30" spans="2:15" ht="34.5" thickBot="1">
      <c r="B30" s="479" t="s">
        <v>1</v>
      </c>
      <c r="C30" s="423" t="s">
        <v>2</v>
      </c>
      <c r="D30" s="423"/>
      <c r="E30" s="424"/>
      <c r="F30" s="423" t="s">
        <v>3</v>
      </c>
      <c r="G30" s="423" t="s">
        <v>4</v>
      </c>
      <c r="H30" s="423" t="s">
        <v>5</v>
      </c>
      <c r="I30" s="423" t="s">
        <v>43</v>
      </c>
      <c r="J30" s="423" t="s">
        <v>554</v>
      </c>
      <c r="K30" s="423" t="s">
        <v>42</v>
      </c>
      <c r="L30" s="423" t="s">
        <v>6</v>
      </c>
      <c r="M30" s="423" t="s">
        <v>7</v>
      </c>
      <c r="N30" s="421" t="s">
        <v>751</v>
      </c>
      <c r="O30" s="425" t="s">
        <v>29</v>
      </c>
    </row>
    <row r="31" spans="2:15" ht="29.25" customHeight="1" thickTop="1">
      <c r="B31" s="16" t="s">
        <v>264</v>
      </c>
      <c r="C31" s="568" t="s">
        <v>695</v>
      </c>
      <c r="D31" s="8" t="s">
        <v>221</v>
      </c>
      <c r="E31" s="298">
        <f>7370/2</f>
        <v>3685</v>
      </c>
      <c r="F31" s="9">
        <v>3832</v>
      </c>
      <c r="G31" s="290">
        <v>0</v>
      </c>
      <c r="H31" s="9">
        <f>F31</f>
        <v>3832</v>
      </c>
      <c r="I31" s="11"/>
      <c r="J31" s="11"/>
      <c r="K31" s="9">
        <v>280</v>
      </c>
      <c r="L31" s="9">
        <f>K31</f>
        <v>280</v>
      </c>
      <c r="M31" s="9">
        <f>H31+I31-L31-J31</f>
        <v>3552</v>
      </c>
      <c r="N31" s="10">
        <f t="shared" ref="N31:N32" si="6">M31*12</f>
        <v>42624</v>
      </c>
      <c r="O31" s="27"/>
    </row>
    <row r="32" spans="2:15" ht="30" customHeight="1">
      <c r="B32" s="16" t="s">
        <v>265</v>
      </c>
      <c r="C32" s="3" t="s">
        <v>573</v>
      </c>
      <c r="D32" s="8" t="s">
        <v>226</v>
      </c>
      <c r="E32" s="298">
        <f>10384/2</f>
        <v>5192</v>
      </c>
      <c r="F32" s="9">
        <v>5400</v>
      </c>
      <c r="G32" s="9">
        <v>0</v>
      </c>
      <c r="H32" s="9">
        <f>F32</f>
        <v>5400</v>
      </c>
      <c r="I32" s="9"/>
      <c r="J32" s="9"/>
      <c r="K32" s="9">
        <v>481</v>
      </c>
      <c r="L32" s="9">
        <f>K32</f>
        <v>481</v>
      </c>
      <c r="M32" s="9">
        <f>H32-L32</f>
        <v>4919</v>
      </c>
      <c r="N32" s="10">
        <f t="shared" si="6"/>
        <v>59028</v>
      </c>
      <c r="O32" s="26"/>
    </row>
    <row r="33" spans="2:15" s="21" customFormat="1" ht="18" customHeight="1" thickBot="1">
      <c r="B33" s="28" t="s">
        <v>9</v>
      </c>
      <c r="C33" s="29"/>
      <c r="D33" s="29"/>
      <c r="E33" s="300"/>
      <c r="F33" s="477">
        <f>SUM(F31:F32)</f>
        <v>9232</v>
      </c>
      <c r="G33" s="477">
        <f t="shared" ref="G33:I33" si="7">SUM(G31:G32)</f>
        <v>0</v>
      </c>
      <c r="H33" s="477">
        <f>SUM(H31:H32)</f>
        <v>9232</v>
      </c>
      <c r="I33" s="477">
        <f t="shared" si="7"/>
        <v>0</v>
      </c>
      <c r="J33" s="477">
        <f>SUM(J31:J32)</f>
        <v>0</v>
      </c>
      <c r="K33" s="477">
        <f>SUM(K31:K32)</f>
        <v>761</v>
      </c>
      <c r="L33" s="477">
        <f>SUM(L31:L32)</f>
        <v>761</v>
      </c>
      <c r="M33" s="206">
        <f>SUM(M31:M32)</f>
        <v>8471</v>
      </c>
      <c r="N33" s="206"/>
      <c r="O33" s="517"/>
    </row>
    <row r="34" spans="2:15" ht="18" customHeight="1" thickTop="1">
      <c r="B34" s="24"/>
      <c r="E34" s="301"/>
      <c r="F34" s="12"/>
      <c r="G34" s="12"/>
      <c r="H34" s="12"/>
      <c r="I34" s="13"/>
      <c r="J34" s="13"/>
      <c r="K34" s="12"/>
      <c r="L34" s="12"/>
      <c r="M34" s="14" t="s">
        <v>45</v>
      </c>
      <c r="N34" s="14"/>
      <c r="O34" s="26"/>
    </row>
    <row r="35" spans="2:15" ht="18" customHeight="1">
      <c r="B35" s="30" t="s">
        <v>14</v>
      </c>
      <c r="E35" s="301"/>
      <c r="O35" s="26"/>
    </row>
    <row r="36" spans="2:15" ht="30" customHeight="1">
      <c r="B36" s="16" t="s">
        <v>266</v>
      </c>
      <c r="C36" s="3" t="s">
        <v>209</v>
      </c>
      <c r="D36" s="8" t="s">
        <v>227</v>
      </c>
      <c r="E36" s="298">
        <f>5948/2</f>
        <v>2974</v>
      </c>
      <c r="F36" s="9">
        <v>3093</v>
      </c>
      <c r="G36" s="9">
        <v>0</v>
      </c>
      <c r="H36" s="9">
        <f>F36</f>
        <v>3093</v>
      </c>
      <c r="I36" s="11"/>
      <c r="J36" s="11"/>
      <c r="K36" s="9">
        <v>52</v>
      </c>
      <c r="L36" s="9">
        <f>K36</f>
        <v>52</v>
      </c>
      <c r="M36" s="9">
        <f>H36+I36-L36-J36</f>
        <v>3041</v>
      </c>
      <c r="N36" s="10">
        <f t="shared" ref="N36:N37" si="8">M36*12</f>
        <v>36492</v>
      </c>
      <c r="O36" s="26"/>
    </row>
    <row r="37" spans="2:15" ht="30" customHeight="1">
      <c r="B37" s="16" t="s">
        <v>267</v>
      </c>
      <c r="C37" s="3" t="s">
        <v>575</v>
      </c>
      <c r="D37" s="8" t="s">
        <v>228</v>
      </c>
      <c r="E37" s="298">
        <f>10384/2</f>
        <v>5192</v>
      </c>
      <c r="F37" s="9">
        <v>5400</v>
      </c>
      <c r="G37" s="9">
        <v>0</v>
      </c>
      <c r="H37" s="9">
        <f>F37</f>
        <v>5400</v>
      </c>
      <c r="I37" s="9"/>
      <c r="J37" s="9"/>
      <c r="K37" s="9">
        <v>481</v>
      </c>
      <c r="L37" s="9">
        <f>K37</f>
        <v>481</v>
      </c>
      <c r="M37" s="9">
        <f>H37+I37-L37-J37</f>
        <v>4919</v>
      </c>
      <c r="N37" s="10">
        <f t="shared" si="8"/>
        <v>59028</v>
      </c>
      <c r="O37" s="31"/>
    </row>
    <row r="38" spans="2:15" s="21" customFormat="1" ht="18" customHeight="1" thickBot="1">
      <c r="B38" s="28" t="s">
        <v>9</v>
      </c>
      <c r="C38" s="29"/>
      <c r="D38" s="29"/>
      <c r="E38" s="300"/>
      <c r="F38" s="477">
        <f>SUM(F36:F37)</f>
        <v>8493</v>
      </c>
      <c r="G38" s="477">
        <f t="shared" ref="G38:L38" si="9">SUM(G36:G37)</f>
        <v>0</v>
      </c>
      <c r="H38" s="477">
        <f>SUM(H36:H37)</f>
        <v>8493</v>
      </c>
      <c r="I38" s="477">
        <f t="shared" si="9"/>
        <v>0</v>
      </c>
      <c r="J38" s="477">
        <f>SUM(J36:J37)</f>
        <v>0</v>
      </c>
      <c r="K38" s="477">
        <f>SUM(K36:K37)</f>
        <v>533</v>
      </c>
      <c r="L38" s="477">
        <f t="shared" si="9"/>
        <v>533</v>
      </c>
      <c r="M38" s="206">
        <f>SUM(M36:M37)</f>
        <v>7960</v>
      </c>
      <c r="N38" s="206"/>
      <c r="O38" s="517"/>
    </row>
    <row r="39" spans="2:15" ht="18" customHeight="1" thickTop="1">
      <c r="B39" s="24"/>
      <c r="E39" s="301"/>
      <c r="F39" s="12"/>
      <c r="G39" s="12"/>
      <c r="H39" s="12"/>
      <c r="I39" s="13"/>
      <c r="J39" s="13"/>
      <c r="K39" s="12"/>
      <c r="L39" s="12"/>
      <c r="M39" s="14" t="s">
        <v>45</v>
      </c>
      <c r="N39" s="14"/>
      <c r="O39" s="26"/>
    </row>
    <row r="40" spans="2:15" ht="18" customHeight="1">
      <c r="B40" s="24"/>
      <c r="E40" s="301"/>
      <c r="O40" s="26"/>
    </row>
    <row r="41" spans="2:15" ht="18" customHeight="1">
      <c r="B41" s="30" t="s">
        <v>15</v>
      </c>
      <c r="E41" s="301"/>
      <c r="O41" s="26"/>
    </row>
    <row r="42" spans="2:15" ht="30" customHeight="1">
      <c r="B42" s="16" t="s">
        <v>349</v>
      </c>
      <c r="C42" s="3" t="s">
        <v>414</v>
      </c>
      <c r="D42" s="8" t="s">
        <v>229</v>
      </c>
      <c r="E42" s="298"/>
      <c r="F42" s="9">
        <v>9063</v>
      </c>
      <c r="G42" s="9"/>
      <c r="H42" s="9">
        <f>F42</f>
        <v>9063</v>
      </c>
      <c r="I42" s="9"/>
      <c r="J42" s="9"/>
      <c r="K42" s="9">
        <v>1215</v>
      </c>
      <c r="L42" s="9">
        <f>K42+J42</f>
        <v>1215</v>
      </c>
      <c r="M42" s="9">
        <f>H42-L42</f>
        <v>7848</v>
      </c>
      <c r="N42" s="10">
        <f t="shared" ref="N42:N45" si="10">M42*12</f>
        <v>94176</v>
      </c>
      <c r="O42" s="26"/>
    </row>
    <row r="43" spans="2:15" ht="30" customHeight="1">
      <c r="B43" s="590" t="s">
        <v>350</v>
      </c>
      <c r="C43" s="591" t="s">
        <v>571</v>
      </c>
      <c r="D43" s="592" t="s">
        <v>237</v>
      </c>
      <c r="E43" s="593">
        <f>12210/2</f>
        <v>6105</v>
      </c>
      <c r="F43" s="594">
        <v>5502.46</v>
      </c>
      <c r="G43" s="594">
        <v>0</v>
      </c>
      <c r="H43" s="594">
        <f>F43</f>
        <v>5502.46</v>
      </c>
      <c r="I43" s="594"/>
      <c r="J43" s="594"/>
      <c r="K43" s="594">
        <v>560.73</v>
      </c>
      <c r="L43" s="594">
        <f>K43</f>
        <v>560.73</v>
      </c>
      <c r="M43" s="594">
        <f>H43+I43-L43-J43</f>
        <v>4941.7299999999996</v>
      </c>
      <c r="N43" s="10">
        <f t="shared" si="10"/>
        <v>59300.759999999995</v>
      </c>
      <c r="O43" s="595"/>
    </row>
    <row r="44" spans="2:15" ht="30" customHeight="1">
      <c r="B44" s="16" t="s">
        <v>351</v>
      </c>
      <c r="C44" s="212" t="s">
        <v>562</v>
      </c>
      <c r="D44" s="8" t="s">
        <v>221</v>
      </c>
      <c r="E44" s="298">
        <f>7414/2</f>
        <v>3707</v>
      </c>
      <c r="F44" s="9">
        <v>3855</v>
      </c>
      <c r="G44" s="9">
        <v>0</v>
      </c>
      <c r="H44" s="9">
        <f>F44</f>
        <v>3855</v>
      </c>
      <c r="I44" s="9"/>
      <c r="J44" s="9"/>
      <c r="K44" s="9">
        <v>282</v>
      </c>
      <c r="L44" s="9">
        <f t="shared" ref="L44:L45" si="11">K44</f>
        <v>282</v>
      </c>
      <c r="M44" s="9">
        <f>H44-L44</f>
        <v>3573</v>
      </c>
      <c r="N44" s="10">
        <f t="shared" si="10"/>
        <v>42876</v>
      </c>
      <c r="O44" s="32"/>
    </row>
    <row r="45" spans="2:15" ht="30" customHeight="1">
      <c r="B45" s="16" t="s">
        <v>352</v>
      </c>
      <c r="C45" s="3" t="s">
        <v>572</v>
      </c>
      <c r="D45" s="8" t="s">
        <v>221</v>
      </c>
      <c r="E45" s="298">
        <f>7414/2</f>
        <v>3707</v>
      </c>
      <c r="F45" s="9">
        <v>3855</v>
      </c>
      <c r="G45" s="9">
        <v>0</v>
      </c>
      <c r="H45" s="9">
        <f>F45</f>
        <v>3855</v>
      </c>
      <c r="I45" s="11"/>
      <c r="J45" s="11"/>
      <c r="K45" s="9">
        <v>282</v>
      </c>
      <c r="L45" s="9">
        <f t="shared" si="11"/>
        <v>282</v>
      </c>
      <c r="M45" s="9">
        <f>H45+I45-L45-J45</f>
        <v>3573</v>
      </c>
      <c r="N45" s="10">
        <f t="shared" si="10"/>
        <v>42876</v>
      </c>
      <c r="O45" s="26"/>
    </row>
    <row r="46" spans="2:15" s="21" customFormat="1" ht="18" customHeight="1" thickBot="1">
      <c r="B46" s="28" t="s">
        <v>9</v>
      </c>
      <c r="C46" s="29"/>
      <c r="D46" s="29"/>
      <c r="E46" s="300"/>
      <c r="F46" s="477">
        <f t="shared" ref="F46:M46" si="12">SUM(F42:F45)</f>
        <v>22275.46</v>
      </c>
      <c r="G46" s="477">
        <f t="shared" si="12"/>
        <v>0</v>
      </c>
      <c r="H46" s="477">
        <f t="shared" si="12"/>
        <v>22275.46</v>
      </c>
      <c r="I46" s="477">
        <f t="shared" si="12"/>
        <v>0</v>
      </c>
      <c r="J46" s="477">
        <f t="shared" si="12"/>
        <v>0</v>
      </c>
      <c r="K46" s="477">
        <f t="shared" si="12"/>
        <v>2339.73</v>
      </c>
      <c r="L46" s="477">
        <f t="shared" si="12"/>
        <v>2339.73</v>
      </c>
      <c r="M46" s="206">
        <f t="shared" si="12"/>
        <v>19935.73</v>
      </c>
      <c r="N46" s="206"/>
      <c r="O46" s="517"/>
    </row>
    <row r="47" spans="2:15" ht="18" customHeight="1" thickTop="1">
      <c r="B47" s="24"/>
      <c r="E47" s="301"/>
      <c r="F47" s="12"/>
      <c r="G47" s="12"/>
      <c r="H47" s="12"/>
      <c r="I47" s="13"/>
      <c r="J47" s="13"/>
      <c r="K47" s="12"/>
      <c r="L47" s="12"/>
      <c r="M47" s="14" t="s">
        <v>45</v>
      </c>
      <c r="N47" s="14"/>
      <c r="O47" s="26"/>
    </row>
    <row r="48" spans="2:15" ht="18" customHeight="1">
      <c r="B48" s="24"/>
      <c r="E48" s="301"/>
      <c r="O48" s="26"/>
    </row>
    <row r="49" spans="2:15" ht="18" customHeight="1">
      <c r="B49" s="30" t="s">
        <v>16</v>
      </c>
      <c r="E49" s="301"/>
      <c r="O49" s="26"/>
    </row>
    <row r="50" spans="2:15" ht="30" customHeight="1">
      <c r="B50" s="16" t="s">
        <v>353</v>
      </c>
      <c r="C50" s="3" t="s">
        <v>35</v>
      </c>
      <c r="D50" s="8" t="s">
        <v>231</v>
      </c>
      <c r="E50" s="298">
        <f>8374/2</f>
        <v>4187</v>
      </c>
      <c r="F50" s="9">
        <v>4354</v>
      </c>
      <c r="G50" s="9">
        <v>0</v>
      </c>
      <c r="H50" s="9">
        <f>F50</f>
        <v>4354</v>
      </c>
      <c r="I50" s="9"/>
      <c r="J50" s="9"/>
      <c r="K50" s="9">
        <v>337</v>
      </c>
      <c r="L50" s="9">
        <f>K50</f>
        <v>337</v>
      </c>
      <c r="M50" s="9">
        <f>H50+I50-L50-J50</f>
        <v>4017</v>
      </c>
      <c r="N50" s="10">
        <f t="shared" ref="N50:N51" si="13">M50*12</f>
        <v>48204</v>
      </c>
      <c r="O50" s="33"/>
    </row>
    <row r="51" spans="2:15" ht="30" customHeight="1">
      <c r="B51" s="16" t="s">
        <v>354</v>
      </c>
      <c r="C51" s="3" t="s">
        <v>587</v>
      </c>
      <c r="D51" s="8" t="s">
        <v>645</v>
      </c>
      <c r="E51" s="298">
        <f>10384/2</f>
        <v>5192</v>
      </c>
      <c r="F51" s="9">
        <v>5900</v>
      </c>
      <c r="G51" s="9">
        <v>0</v>
      </c>
      <c r="H51" s="9">
        <f>F51</f>
        <v>5900</v>
      </c>
      <c r="I51" s="9"/>
      <c r="J51" s="9"/>
      <c r="K51" s="9">
        <v>567</v>
      </c>
      <c r="L51" s="9">
        <f>J51+K51</f>
        <v>567</v>
      </c>
      <c r="M51" s="9">
        <f>H51-L51</f>
        <v>5333</v>
      </c>
      <c r="N51" s="10">
        <f t="shared" si="13"/>
        <v>63996</v>
      </c>
      <c r="O51" s="34"/>
    </row>
    <row r="52" spans="2:15" s="21" customFormat="1" ht="18" customHeight="1" thickBot="1">
      <c r="B52" s="28" t="s">
        <v>9</v>
      </c>
      <c r="C52" s="29"/>
      <c r="D52" s="29"/>
      <c r="E52" s="300"/>
      <c r="F52" s="477">
        <f>SUM(F50:F51)</f>
        <v>10254</v>
      </c>
      <c r="G52" s="477">
        <f t="shared" ref="G52:L52" si="14">SUM(G50:G51)</f>
        <v>0</v>
      </c>
      <c r="H52" s="477">
        <f>SUM(H50:H51)</f>
        <v>10254</v>
      </c>
      <c r="I52" s="477">
        <f t="shared" si="14"/>
        <v>0</v>
      </c>
      <c r="J52" s="477">
        <f>SUM(J50:J51)</f>
        <v>0</v>
      </c>
      <c r="K52" s="477">
        <f>SUM(K50:K51)</f>
        <v>904</v>
      </c>
      <c r="L52" s="477">
        <f t="shared" si="14"/>
        <v>904</v>
      </c>
      <c r="M52" s="206">
        <f>SUM(M50:M51)</f>
        <v>9350</v>
      </c>
      <c r="N52" s="206"/>
      <c r="O52" s="517"/>
    </row>
    <row r="53" spans="2:15" ht="18" customHeight="1" thickTop="1">
      <c r="E53" s="302"/>
      <c r="F53" s="12"/>
      <c r="G53" s="12"/>
      <c r="H53" s="12"/>
      <c r="I53" s="12"/>
      <c r="J53" s="12"/>
      <c r="K53" s="12"/>
      <c r="L53" s="12"/>
      <c r="M53" s="14" t="s">
        <v>45</v>
      </c>
      <c r="N53" s="14"/>
      <c r="O53" s="26"/>
    </row>
    <row r="54" spans="2:15" ht="18" customHeight="1">
      <c r="E54" s="302"/>
      <c r="F54" s="12"/>
      <c r="G54" s="12"/>
      <c r="H54" s="12"/>
      <c r="I54" s="12"/>
      <c r="J54" s="12"/>
      <c r="K54" s="12"/>
      <c r="L54" s="12"/>
      <c r="M54" s="14"/>
      <c r="N54" s="14"/>
      <c r="O54" s="26"/>
    </row>
    <row r="55" spans="2:15" ht="18" customHeight="1">
      <c r="B55" s="625" t="s">
        <v>205</v>
      </c>
      <c r="C55" s="626"/>
      <c r="D55" s="626"/>
      <c r="E55" s="626"/>
      <c r="F55" s="626"/>
      <c r="G55" s="626"/>
      <c r="H55" s="626"/>
      <c r="I55" s="626"/>
      <c r="J55" s="626"/>
      <c r="K55" s="626"/>
      <c r="L55" s="626"/>
      <c r="M55" s="626"/>
      <c r="N55" s="626"/>
      <c r="O55" s="627"/>
    </row>
    <row r="56" spans="2:15" ht="18" customHeight="1">
      <c r="B56" s="628" t="s">
        <v>723</v>
      </c>
      <c r="C56" s="629"/>
      <c r="D56" s="629"/>
      <c r="E56" s="629"/>
      <c r="F56" s="629"/>
      <c r="G56" s="629"/>
      <c r="H56" s="629"/>
      <c r="I56" s="629"/>
      <c r="J56" s="629"/>
      <c r="K56" s="629"/>
      <c r="L56" s="629"/>
      <c r="M56" s="629"/>
      <c r="N56" s="629"/>
      <c r="O56" s="630"/>
    </row>
    <row r="57" spans="2:15" ht="18" customHeight="1">
      <c r="B57" s="24"/>
      <c r="C57" s="25" t="s">
        <v>0</v>
      </c>
      <c r="D57" s="25"/>
      <c r="E57" s="299"/>
      <c r="O57" s="26"/>
    </row>
    <row r="58" spans="2:15" ht="40.5" customHeight="1" thickBot="1">
      <c r="B58" s="479" t="s">
        <v>1</v>
      </c>
      <c r="C58" s="423" t="s">
        <v>2</v>
      </c>
      <c r="D58" s="423"/>
      <c r="E58" s="424"/>
      <c r="F58" s="423" t="s">
        <v>3</v>
      </c>
      <c r="G58" s="423" t="s">
        <v>4</v>
      </c>
      <c r="H58" s="423" t="s">
        <v>5</v>
      </c>
      <c r="I58" s="423" t="s">
        <v>43</v>
      </c>
      <c r="J58" s="423"/>
      <c r="K58" s="423" t="s">
        <v>42</v>
      </c>
      <c r="L58" s="423" t="s">
        <v>6</v>
      </c>
      <c r="M58" s="423" t="s">
        <v>7</v>
      </c>
      <c r="N58" s="421" t="s">
        <v>751</v>
      </c>
      <c r="O58" s="425" t="s">
        <v>29</v>
      </c>
    </row>
    <row r="59" spans="2:15" ht="18" customHeight="1" thickTop="1">
      <c r="B59" s="30" t="s">
        <v>17</v>
      </c>
      <c r="E59" s="301"/>
      <c r="O59" s="26"/>
    </row>
    <row r="60" spans="2:15" ht="18" customHeight="1">
      <c r="B60" s="16" t="s">
        <v>355</v>
      </c>
      <c r="C60" s="3" t="s">
        <v>528</v>
      </c>
      <c r="D60" s="8" t="s">
        <v>529</v>
      </c>
      <c r="E60" s="298">
        <f>10384/2</f>
        <v>5192</v>
      </c>
      <c r="F60" s="369">
        <v>5400</v>
      </c>
      <c r="G60" s="22"/>
      <c r="H60" s="22">
        <f>F60</f>
        <v>5400</v>
      </c>
      <c r="I60" s="22"/>
      <c r="J60" s="369"/>
      <c r="K60" s="369">
        <v>481</v>
      </c>
      <c r="L60" s="22">
        <f>J60+K60</f>
        <v>481</v>
      </c>
      <c r="M60" s="22">
        <f>H60-L60</f>
        <v>4919</v>
      </c>
      <c r="N60" s="10">
        <f t="shared" ref="N60:N61" si="15">M60*12</f>
        <v>59028</v>
      </c>
      <c r="O60" s="26"/>
    </row>
    <row r="61" spans="2:15" ht="24.95" customHeight="1">
      <c r="B61" s="16" t="s">
        <v>356</v>
      </c>
      <c r="C61" s="3" t="s">
        <v>36</v>
      </c>
      <c r="D61" s="8" t="s">
        <v>237</v>
      </c>
      <c r="E61" s="298">
        <f>7942/2</f>
        <v>3971</v>
      </c>
      <c r="F61" s="9">
        <v>4130</v>
      </c>
      <c r="G61" s="9">
        <v>0</v>
      </c>
      <c r="H61" s="9">
        <f>F61</f>
        <v>4130</v>
      </c>
      <c r="I61" s="9"/>
      <c r="J61" s="9"/>
      <c r="K61" s="9">
        <v>312</v>
      </c>
      <c r="L61" s="9">
        <f>K61</f>
        <v>312</v>
      </c>
      <c r="M61" s="9">
        <f>H61+I61-L61-J61</f>
        <v>3818</v>
      </c>
      <c r="N61" s="10">
        <f t="shared" si="15"/>
        <v>45816</v>
      </c>
      <c r="O61" s="3"/>
    </row>
    <row r="62" spans="2:15" s="21" customFormat="1" ht="24.95" customHeight="1" thickBot="1">
      <c r="B62" s="28" t="s">
        <v>9</v>
      </c>
      <c r="C62" s="29"/>
      <c r="D62" s="29"/>
      <c r="E62" s="300"/>
      <c r="F62" s="477">
        <f>SUM(F61+F60)</f>
        <v>9530</v>
      </c>
      <c r="G62" s="477">
        <f t="shared" ref="G62:I62" si="16">SUM(G61)</f>
        <v>0</v>
      </c>
      <c r="H62" s="477">
        <f>SUM(H60:H61)</f>
        <v>9530</v>
      </c>
      <c r="I62" s="477">
        <f t="shared" si="16"/>
        <v>0</v>
      </c>
      <c r="J62" s="477">
        <f>SUM(J60:J61)</f>
        <v>0</v>
      </c>
      <c r="K62" s="477">
        <f>SUM(K60:K61)</f>
        <v>793</v>
      </c>
      <c r="L62" s="477">
        <f>SUM(L60:L61)</f>
        <v>793</v>
      </c>
      <c r="M62" s="206">
        <f>SUM(M60:M61)</f>
        <v>8737</v>
      </c>
      <c r="N62" s="206"/>
      <c r="O62" s="517"/>
    </row>
    <row r="63" spans="2:15" ht="24.95" customHeight="1" thickTop="1">
      <c r="B63" s="24"/>
      <c r="E63" s="301"/>
      <c r="F63" s="12"/>
      <c r="G63" s="12"/>
      <c r="H63" s="12"/>
      <c r="I63" s="12"/>
      <c r="J63" s="12"/>
      <c r="K63" s="12"/>
      <c r="L63" s="12"/>
      <c r="M63" s="14" t="s">
        <v>45</v>
      </c>
      <c r="N63" s="14"/>
      <c r="O63" s="26"/>
    </row>
    <row r="64" spans="2:15" ht="24.95" customHeight="1">
      <c r="B64" s="24"/>
      <c r="E64" s="301"/>
      <c r="O64" s="26"/>
    </row>
    <row r="65" spans="2:15" ht="24.95" customHeight="1">
      <c r="B65" s="30" t="s">
        <v>18</v>
      </c>
      <c r="E65" s="301"/>
      <c r="O65" s="26"/>
    </row>
    <row r="66" spans="2:15" ht="24.95" customHeight="1">
      <c r="B66" s="16" t="s">
        <v>357</v>
      </c>
      <c r="C66" s="3" t="s">
        <v>37</v>
      </c>
      <c r="D66" s="8" t="s">
        <v>233</v>
      </c>
      <c r="E66" s="298">
        <f>10942/2</f>
        <v>5471</v>
      </c>
      <c r="F66" s="9">
        <v>5690</v>
      </c>
      <c r="G66" s="9">
        <v>0</v>
      </c>
      <c r="H66" s="9">
        <f>F66</f>
        <v>5690</v>
      </c>
      <c r="I66" s="9"/>
      <c r="J66" s="9"/>
      <c r="K66" s="9">
        <v>529</v>
      </c>
      <c r="L66" s="9">
        <f t="shared" ref="L66" si="17">K66</f>
        <v>529</v>
      </c>
      <c r="M66" s="9">
        <f t="shared" ref="M66" si="18">H66+I66-L66-J66:J68</f>
        <v>5161</v>
      </c>
      <c r="N66" s="10">
        <f t="shared" ref="N66:N67" si="19">M66*12</f>
        <v>61932</v>
      </c>
      <c r="O66" s="26"/>
    </row>
    <row r="67" spans="2:15" ht="24.95" customHeight="1">
      <c r="B67" s="16" t="s">
        <v>358</v>
      </c>
      <c r="C67" s="3" t="s">
        <v>38</v>
      </c>
      <c r="D67" s="8" t="s">
        <v>234</v>
      </c>
      <c r="E67" s="298">
        <f>7940/2</f>
        <v>3970</v>
      </c>
      <c r="F67" s="9">
        <v>4129</v>
      </c>
      <c r="G67" s="9">
        <v>0</v>
      </c>
      <c r="H67" s="9">
        <f>F67</f>
        <v>4129</v>
      </c>
      <c r="I67" s="9"/>
      <c r="J67" s="9"/>
      <c r="K67" s="9">
        <v>312</v>
      </c>
      <c r="L67" s="9">
        <f>K67</f>
        <v>312</v>
      </c>
      <c r="M67" s="9">
        <f>H67+I67-L67-J67</f>
        <v>3817</v>
      </c>
      <c r="N67" s="10">
        <f t="shared" si="19"/>
        <v>45804</v>
      </c>
      <c r="O67" s="32"/>
    </row>
    <row r="68" spans="2:15" s="21" customFormat="1" ht="24.95" customHeight="1" thickBot="1">
      <c r="B68" s="28" t="s">
        <v>9</v>
      </c>
      <c r="C68" s="29"/>
      <c r="D68" s="29"/>
      <c r="E68" s="300"/>
      <c r="F68" s="477">
        <f t="shared" ref="F68:M68" si="20">SUM(F66:F67)</f>
        <v>9819</v>
      </c>
      <c r="G68" s="477">
        <f t="shared" si="20"/>
        <v>0</v>
      </c>
      <c r="H68" s="477">
        <f t="shared" si="20"/>
        <v>9819</v>
      </c>
      <c r="I68" s="477">
        <f t="shared" si="20"/>
        <v>0</v>
      </c>
      <c r="J68" s="477">
        <f t="shared" si="20"/>
        <v>0</v>
      </c>
      <c r="K68" s="477">
        <f t="shared" si="20"/>
        <v>841</v>
      </c>
      <c r="L68" s="477">
        <f t="shared" si="20"/>
        <v>841</v>
      </c>
      <c r="M68" s="206">
        <f t="shared" si="20"/>
        <v>8978</v>
      </c>
      <c r="N68" s="206"/>
      <c r="O68" s="517"/>
    </row>
    <row r="69" spans="2:15" ht="24.95" customHeight="1" thickTop="1">
      <c r="B69" s="24"/>
      <c r="E69" s="301"/>
      <c r="F69" s="12"/>
      <c r="G69" s="12"/>
      <c r="H69" s="12"/>
      <c r="I69" s="12"/>
      <c r="J69" s="12"/>
      <c r="K69" s="12"/>
      <c r="L69" s="12"/>
      <c r="M69" s="14" t="s">
        <v>45</v>
      </c>
      <c r="N69" s="14"/>
      <c r="O69" s="26"/>
    </row>
    <row r="70" spans="2:15" ht="24.95" customHeight="1">
      <c r="B70" s="24"/>
      <c r="E70" s="301"/>
      <c r="O70" s="26"/>
    </row>
    <row r="71" spans="2:15" ht="24.95" customHeight="1">
      <c r="B71" s="30" t="s">
        <v>19</v>
      </c>
      <c r="E71" s="301"/>
      <c r="O71" s="26"/>
    </row>
    <row r="72" spans="2:15" ht="24.95" customHeight="1">
      <c r="B72" s="16" t="s">
        <v>359</v>
      </c>
      <c r="C72" s="3" t="s">
        <v>429</v>
      </c>
      <c r="D72" s="8" t="s">
        <v>235</v>
      </c>
      <c r="E72" s="298">
        <f>16078/2</f>
        <v>8039</v>
      </c>
      <c r="F72" s="9">
        <v>8360</v>
      </c>
      <c r="G72" s="9">
        <v>0</v>
      </c>
      <c r="H72" s="9">
        <f>F72</f>
        <v>8360</v>
      </c>
      <c r="I72" s="9"/>
      <c r="J72" s="9"/>
      <c r="K72" s="9">
        <v>1065</v>
      </c>
      <c r="L72" s="9">
        <f>K72</f>
        <v>1065</v>
      </c>
      <c r="M72" s="9">
        <f>H72+I72-L72-J72</f>
        <v>7295</v>
      </c>
      <c r="N72" s="10">
        <f>M72*12</f>
        <v>87540</v>
      </c>
      <c r="O72" s="27"/>
    </row>
    <row r="73" spans="2:15" s="21" customFormat="1" ht="24.95" customHeight="1" thickBot="1">
      <c r="B73" s="28" t="s">
        <v>9</v>
      </c>
      <c r="C73" s="29"/>
      <c r="D73" s="29"/>
      <c r="E73" s="300"/>
      <c r="F73" s="477">
        <f>SUM(F72)</f>
        <v>8360</v>
      </c>
      <c r="G73" s="477">
        <f t="shared" ref="G73:I73" si="21">SUM(G72)</f>
        <v>0</v>
      </c>
      <c r="H73" s="477">
        <f>SUM(H72)</f>
        <v>8360</v>
      </c>
      <c r="I73" s="477">
        <f t="shared" si="21"/>
        <v>0</v>
      </c>
      <c r="J73" s="477">
        <f>SUM(J72)</f>
        <v>0</v>
      </c>
      <c r="K73" s="477">
        <f>SUM(K72)</f>
        <v>1065</v>
      </c>
      <c r="L73" s="477">
        <f>SUM(L72)</f>
        <v>1065</v>
      </c>
      <c r="M73" s="206">
        <f>SUM(M72)</f>
        <v>7295</v>
      </c>
      <c r="N73" s="602"/>
      <c r="O73" s="522"/>
    </row>
    <row r="74" spans="2:15" ht="18" customHeight="1" thickTop="1">
      <c r="B74" s="37"/>
      <c r="C74" s="38"/>
      <c r="D74" s="38"/>
      <c r="E74" s="303"/>
      <c r="F74" s="39"/>
      <c r="G74" s="39"/>
      <c r="H74" s="39"/>
      <c r="I74" s="39"/>
      <c r="J74" s="39"/>
      <c r="K74" s="39"/>
      <c r="L74" s="39"/>
      <c r="M74" s="40" t="s">
        <v>45</v>
      </c>
      <c r="N74" s="40"/>
      <c r="O74" s="27"/>
    </row>
    <row r="75" spans="2:15" ht="18" customHeight="1">
      <c r="E75" s="302"/>
    </row>
    <row r="76" spans="2:15" ht="18" customHeight="1">
      <c r="E76" s="302"/>
    </row>
    <row r="77" spans="2:15" ht="18" customHeight="1">
      <c r="E77" s="302"/>
    </row>
    <row r="78" spans="2:15" ht="18" customHeight="1">
      <c r="B78" s="625" t="s">
        <v>205</v>
      </c>
      <c r="C78" s="626"/>
      <c r="D78" s="626"/>
      <c r="E78" s="626"/>
      <c r="F78" s="626"/>
      <c r="G78" s="626"/>
      <c r="H78" s="626"/>
      <c r="I78" s="626"/>
      <c r="J78" s="626"/>
      <c r="K78" s="626"/>
      <c r="L78" s="626"/>
      <c r="M78" s="626"/>
      <c r="N78" s="626"/>
      <c r="O78" s="627"/>
    </row>
    <row r="79" spans="2:15" ht="18" customHeight="1">
      <c r="B79" s="628" t="s">
        <v>724</v>
      </c>
      <c r="C79" s="629"/>
      <c r="D79" s="629"/>
      <c r="E79" s="629"/>
      <c r="F79" s="629"/>
      <c r="G79" s="629"/>
      <c r="H79" s="629"/>
      <c r="I79" s="629"/>
      <c r="J79" s="629"/>
      <c r="K79" s="629"/>
      <c r="L79" s="629"/>
      <c r="M79" s="629"/>
      <c r="N79" s="629"/>
      <c r="O79" s="630"/>
    </row>
    <row r="80" spans="2:15" ht="18" customHeight="1">
      <c r="B80" s="24"/>
      <c r="C80" s="25" t="s">
        <v>0</v>
      </c>
      <c r="D80" s="25"/>
      <c r="E80" s="299"/>
      <c r="O80" s="26"/>
    </row>
    <row r="81" spans="2:15" ht="39" customHeight="1" thickBot="1">
      <c r="B81" s="479" t="s">
        <v>1</v>
      </c>
      <c r="C81" s="423" t="s">
        <v>2</v>
      </c>
      <c r="D81" s="423"/>
      <c r="E81" s="424"/>
      <c r="F81" s="423" t="s">
        <v>3</v>
      </c>
      <c r="G81" s="423" t="s">
        <v>4</v>
      </c>
      <c r="H81" s="423" t="s">
        <v>5</v>
      </c>
      <c r="I81" s="423" t="s">
        <v>43</v>
      </c>
      <c r="J81" s="423"/>
      <c r="K81" s="423" t="s">
        <v>42</v>
      </c>
      <c r="L81" s="423" t="s">
        <v>6</v>
      </c>
      <c r="M81" s="423" t="s">
        <v>7</v>
      </c>
      <c r="N81" s="421" t="s">
        <v>751</v>
      </c>
      <c r="O81" s="425" t="s">
        <v>29</v>
      </c>
    </row>
    <row r="82" spans="2:15" ht="18" customHeight="1" thickTop="1">
      <c r="B82" s="30" t="s">
        <v>20</v>
      </c>
      <c r="E82" s="301"/>
      <c r="O82" s="26"/>
    </row>
    <row r="83" spans="2:15" ht="30" customHeight="1">
      <c r="B83" s="16" t="s">
        <v>360</v>
      </c>
      <c r="C83" s="3" t="s">
        <v>402</v>
      </c>
      <c r="D83" s="8" t="s">
        <v>236</v>
      </c>
      <c r="E83" s="298">
        <f>14560/2</f>
        <v>7280</v>
      </c>
      <c r="F83" s="9">
        <v>7571</v>
      </c>
      <c r="G83" s="9">
        <v>0</v>
      </c>
      <c r="H83" s="9">
        <f t="shared" ref="H83:H89" si="22">F83</f>
        <v>7571</v>
      </c>
      <c r="I83" s="9"/>
      <c r="J83" s="9"/>
      <c r="K83" s="9">
        <v>897</v>
      </c>
      <c r="L83" s="9">
        <f>K83</f>
        <v>897</v>
      </c>
      <c r="M83" s="9">
        <f>H83+I83-L83-J83</f>
        <v>6674</v>
      </c>
      <c r="N83" s="10">
        <f t="shared" ref="N83:N89" si="23">M83*12</f>
        <v>80088</v>
      </c>
      <c r="O83" s="27"/>
    </row>
    <row r="84" spans="2:15" ht="30" customHeight="1">
      <c r="B84" s="16" t="s">
        <v>361</v>
      </c>
      <c r="C84" s="3" t="s">
        <v>403</v>
      </c>
      <c r="D84" s="8" t="s">
        <v>236</v>
      </c>
      <c r="E84" s="298">
        <f>14560/2</f>
        <v>7280</v>
      </c>
      <c r="F84" s="9">
        <v>7571</v>
      </c>
      <c r="G84" s="9">
        <v>0</v>
      </c>
      <c r="H84" s="9">
        <f t="shared" si="22"/>
        <v>7571</v>
      </c>
      <c r="I84" s="9"/>
      <c r="J84" s="9"/>
      <c r="K84" s="9">
        <v>897</v>
      </c>
      <c r="L84" s="9">
        <f t="shared" ref="L84:L89" si="24">K84</f>
        <v>897</v>
      </c>
      <c r="M84" s="9">
        <f t="shared" ref="M84:M89" si="25">H84+I84-L84-J84</f>
        <v>6674</v>
      </c>
      <c r="N84" s="10">
        <f t="shared" si="23"/>
        <v>80088</v>
      </c>
      <c r="O84" s="26"/>
    </row>
    <row r="85" spans="2:15" ht="30" customHeight="1">
      <c r="B85" s="16" t="s">
        <v>362</v>
      </c>
      <c r="C85" s="3" t="s">
        <v>404</v>
      </c>
      <c r="D85" s="8" t="s">
        <v>236</v>
      </c>
      <c r="E85" s="298">
        <f>14560/2</f>
        <v>7280</v>
      </c>
      <c r="F85" s="9">
        <v>7571</v>
      </c>
      <c r="G85" s="9">
        <v>0</v>
      </c>
      <c r="H85" s="9">
        <f t="shared" si="22"/>
        <v>7571</v>
      </c>
      <c r="I85" s="9"/>
      <c r="J85" s="9"/>
      <c r="K85" s="9">
        <v>897</v>
      </c>
      <c r="L85" s="9">
        <f t="shared" si="24"/>
        <v>897</v>
      </c>
      <c r="M85" s="9">
        <f t="shared" si="25"/>
        <v>6674</v>
      </c>
      <c r="N85" s="10">
        <f t="shared" si="23"/>
        <v>80088</v>
      </c>
      <c r="O85" s="31"/>
    </row>
    <row r="86" spans="2:15" ht="30" customHeight="1">
      <c r="B86" s="16" t="s">
        <v>363</v>
      </c>
      <c r="C86" s="3" t="s">
        <v>405</v>
      </c>
      <c r="D86" s="8" t="s">
        <v>230</v>
      </c>
      <c r="E86" s="298">
        <f>8506/2</f>
        <v>4253</v>
      </c>
      <c r="F86" s="9">
        <v>4423</v>
      </c>
      <c r="G86" s="9">
        <v>0</v>
      </c>
      <c r="H86" s="9">
        <f t="shared" si="22"/>
        <v>4423</v>
      </c>
      <c r="I86" s="9"/>
      <c r="J86" s="9"/>
      <c r="K86" s="9">
        <v>344</v>
      </c>
      <c r="L86" s="9">
        <f t="shared" si="24"/>
        <v>344</v>
      </c>
      <c r="M86" s="9">
        <f t="shared" si="25"/>
        <v>4079</v>
      </c>
      <c r="N86" s="10">
        <f t="shared" si="23"/>
        <v>48948</v>
      </c>
      <c r="O86" s="31"/>
    </row>
    <row r="87" spans="2:15" ht="30" customHeight="1">
      <c r="B87" s="16" t="s">
        <v>364</v>
      </c>
      <c r="C87" s="3" t="s">
        <v>406</v>
      </c>
      <c r="D87" s="8" t="s">
        <v>237</v>
      </c>
      <c r="E87" s="298">
        <f>7106/2</f>
        <v>3553</v>
      </c>
      <c r="F87" s="9">
        <v>3695</v>
      </c>
      <c r="G87" s="9">
        <v>0</v>
      </c>
      <c r="H87" s="9">
        <f t="shared" si="22"/>
        <v>3695</v>
      </c>
      <c r="I87" s="11"/>
      <c r="J87" s="11"/>
      <c r="K87" s="9">
        <v>265</v>
      </c>
      <c r="L87" s="9">
        <f t="shared" si="24"/>
        <v>265</v>
      </c>
      <c r="M87" s="9">
        <f t="shared" si="25"/>
        <v>3430</v>
      </c>
      <c r="N87" s="10">
        <f t="shared" si="23"/>
        <v>41160</v>
      </c>
      <c r="O87" s="31"/>
    </row>
    <row r="88" spans="2:15" ht="30" customHeight="1">
      <c r="B88" s="16" t="s">
        <v>365</v>
      </c>
      <c r="C88" s="3" t="s">
        <v>407</v>
      </c>
      <c r="D88" s="8" t="s">
        <v>237</v>
      </c>
      <c r="E88" s="298">
        <f>7398/2</f>
        <v>3699</v>
      </c>
      <c r="F88" s="9">
        <v>3847</v>
      </c>
      <c r="G88" s="9">
        <v>0</v>
      </c>
      <c r="H88" s="9">
        <f t="shared" si="22"/>
        <v>3847</v>
      </c>
      <c r="I88" s="11"/>
      <c r="J88" s="9"/>
      <c r="K88" s="9">
        <v>282</v>
      </c>
      <c r="L88" s="9">
        <f t="shared" si="24"/>
        <v>282</v>
      </c>
      <c r="M88" s="9">
        <f>H88+I88-L88-J88</f>
        <v>3565</v>
      </c>
      <c r="N88" s="10">
        <f t="shared" si="23"/>
        <v>42780</v>
      </c>
      <c r="O88" s="32"/>
    </row>
    <row r="89" spans="2:15" ht="30" customHeight="1">
      <c r="B89" s="16" t="s">
        <v>366</v>
      </c>
      <c r="C89" s="3" t="s">
        <v>563</v>
      </c>
      <c r="D89" s="8" t="s">
        <v>564</v>
      </c>
      <c r="E89" s="298">
        <f>8552/2</f>
        <v>4276</v>
      </c>
      <c r="F89" s="9">
        <v>5148</v>
      </c>
      <c r="G89" s="9">
        <v>0</v>
      </c>
      <c r="H89" s="9">
        <f t="shared" si="22"/>
        <v>5148</v>
      </c>
      <c r="I89" s="11"/>
      <c r="J89" s="11"/>
      <c r="K89" s="9">
        <v>441</v>
      </c>
      <c r="L89" s="9">
        <f t="shared" si="24"/>
        <v>441</v>
      </c>
      <c r="M89" s="9">
        <f t="shared" si="25"/>
        <v>4707</v>
      </c>
      <c r="N89" s="10">
        <f t="shared" si="23"/>
        <v>56484</v>
      </c>
      <c r="O89" s="26"/>
    </row>
    <row r="90" spans="2:15" s="21" customFormat="1" ht="18" customHeight="1" thickBot="1">
      <c r="B90" s="28" t="s">
        <v>9</v>
      </c>
      <c r="C90" s="29"/>
      <c r="D90" s="29"/>
      <c r="E90" s="300"/>
      <c r="F90" s="477">
        <f>SUM(F83:F89)</f>
        <v>39826</v>
      </c>
      <c r="G90" s="477">
        <f>SUM(G83:G89)</f>
        <v>0</v>
      </c>
      <c r="H90" s="477">
        <f>SUM(H83:H89)</f>
        <v>39826</v>
      </c>
      <c r="I90" s="477">
        <f>SUM(I83:I88)</f>
        <v>0</v>
      </c>
      <c r="J90" s="477">
        <f>SUM(J83:J88)</f>
        <v>0</v>
      </c>
      <c r="K90" s="477">
        <f>SUM(K83:K89)</f>
        <v>4023</v>
      </c>
      <c r="L90" s="477">
        <f>SUM(L83:L89)</f>
        <v>4023</v>
      </c>
      <c r="M90" s="206">
        <f>SUM(M83:M89)</f>
        <v>35803</v>
      </c>
      <c r="N90" s="614"/>
      <c r="O90" s="520"/>
    </row>
    <row r="91" spans="2:15" ht="18" customHeight="1" thickTop="1">
      <c r="B91" s="24"/>
      <c r="E91" s="301"/>
      <c r="F91" s="12"/>
      <c r="G91" s="12"/>
      <c r="H91" s="12"/>
      <c r="I91" s="13"/>
      <c r="J91" s="13"/>
      <c r="K91" s="12"/>
      <c r="L91" s="12"/>
      <c r="M91" s="14" t="s">
        <v>45</v>
      </c>
      <c r="N91" s="14"/>
      <c r="O91" s="26"/>
    </row>
    <row r="92" spans="2:15" ht="18" customHeight="1">
      <c r="B92" s="24"/>
      <c r="E92" s="301"/>
      <c r="O92" s="26"/>
    </row>
    <row r="93" spans="2:15" ht="18" customHeight="1">
      <c r="B93" s="30" t="s">
        <v>21</v>
      </c>
      <c r="E93" s="301"/>
      <c r="O93" s="26"/>
    </row>
    <row r="94" spans="2:15" ht="30" customHeight="1">
      <c r="B94" s="16" t="s">
        <v>367</v>
      </c>
      <c r="C94" s="3" t="s">
        <v>408</v>
      </c>
      <c r="D94" s="8" t="s">
        <v>238</v>
      </c>
      <c r="E94" s="298">
        <f>7414/2</f>
        <v>3707</v>
      </c>
      <c r="F94" s="9">
        <v>3855</v>
      </c>
      <c r="G94" s="9">
        <v>0</v>
      </c>
      <c r="H94" s="9">
        <f>F94</f>
        <v>3855</v>
      </c>
      <c r="I94" s="9"/>
      <c r="J94" s="9"/>
      <c r="K94" s="9">
        <v>282</v>
      </c>
      <c r="L94" s="9">
        <f>K94</f>
        <v>282</v>
      </c>
      <c r="M94" s="9">
        <f>H94+I94-L94-J94</f>
        <v>3573</v>
      </c>
      <c r="N94" s="10">
        <f>M94*12</f>
        <v>42876</v>
      </c>
      <c r="O94" s="27"/>
    </row>
    <row r="95" spans="2:15" s="21" customFormat="1" ht="18" customHeight="1" thickBot="1">
      <c r="B95" s="28" t="s">
        <v>9</v>
      </c>
      <c r="C95" s="29"/>
      <c r="D95" s="29"/>
      <c r="E95" s="300"/>
      <c r="F95" s="477">
        <f t="shared" ref="F95:I95" si="26">SUM(F94:F94)</f>
        <v>3855</v>
      </c>
      <c r="G95" s="477">
        <f t="shared" si="26"/>
        <v>0</v>
      </c>
      <c r="H95" s="477">
        <f>SUM(H94:H94)</f>
        <v>3855</v>
      </c>
      <c r="I95" s="477">
        <f t="shared" si="26"/>
        <v>0</v>
      </c>
      <c r="J95" s="477">
        <f>SUM(J94)</f>
        <v>0</v>
      </c>
      <c r="K95" s="477">
        <f>SUM(K94:K94)</f>
        <v>282</v>
      </c>
      <c r="L95" s="477">
        <f>SUM(L94:L94)</f>
        <v>282</v>
      </c>
      <c r="M95" s="206">
        <f>SUM(M94:M94)</f>
        <v>3573</v>
      </c>
      <c r="N95" s="602"/>
      <c r="O95" s="522"/>
    </row>
    <row r="96" spans="2:15" ht="18" customHeight="1" thickTop="1">
      <c r="B96" s="24"/>
      <c r="E96" s="301"/>
      <c r="F96" s="12"/>
      <c r="G96" s="12"/>
      <c r="H96" s="12"/>
      <c r="I96" s="13"/>
      <c r="J96" s="13"/>
      <c r="K96" s="12"/>
      <c r="L96" s="12"/>
      <c r="M96" s="14" t="s">
        <v>45</v>
      </c>
      <c r="N96" s="14"/>
      <c r="O96" s="26"/>
    </row>
    <row r="97" spans="2:15" ht="18" customHeight="1">
      <c r="B97" s="24"/>
      <c r="E97" s="301"/>
      <c r="O97" s="26"/>
    </row>
    <row r="98" spans="2:15" ht="18" customHeight="1">
      <c r="B98" s="30" t="s">
        <v>22</v>
      </c>
      <c r="E98" s="301"/>
      <c r="O98" s="26"/>
    </row>
    <row r="99" spans="2:15" ht="30" customHeight="1">
      <c r="B99" s="16" t="s">
        <v>368</v>
      </c>
      <c r="C99" s="3" t="s">
        <v>39</v>
      </c>
      <c r="D99" s="8" t="s">
        <v>240</v>
      </c>
      <c r="E99" s="298">
        <f>10384/2</f>
        <v>5192</v>
      </c>
      <c r="F99" s="9">
        <v>5400</v>
      </c>
      <c r="G99" s="9">
        <v>0</v>
      </c>
      <c r="H99" s="9">
        <f>F99</f>
        <v>5400</v>
      </c>
      <c r="I99" s="11"/>
      <c r="J99" s="11"/>
      <c r="K99" s="9">
        <v>481</v>
      </c>
      <c r="L99" s="9">
        <f>K99</f>
        <v>481</v>
      </c>
      <c r="M99" s="9">
        <f>H99+I99-L99-J99</f>
        <v>4919</v>
      </c>
      <c r="N99" s="10">
        <f>M99*12</f>
        <v>59028</v>
      </c>
      <c r="O99" s="26"/>
    </row>
    <row r="100" spans="2:15" s="21" customFormat="1" ht="18" customHeight="1" thickBot="1">
      <c r="B100" s="28" t="s">
        <v>9</v>
      </c>
      <c r="C100" s="29"/>
      <c r="D100" s="29"/>
      <c r="E100" s="300"/>
      <c r="F100" s="477">
        <f t="shared" ref="F100:M100" si="27">SUM(F99:F99)</f>
        <v>5400</v>
      </c>
      <c r="G100" s="477">
        <f t="shared" si="27"/>
        <v>0</v>
      </c>
      <c r="H100" s="477">
        <f t="shared" si="27"/>
        <v>5400</v>
      </c>
      <c r="I100" s="477">
        <f t="shared" si="27"/>
        <v>0</v>
      </c>
      <c r="J100" s="477">
        <f t="shared" si="27"/>
        <v>0</v>
      </c>
      <c r="K100" s="477">
        <f t="shared" si="27"/>
        <v>481</v>
      </c>
      <c r="L100" s="477">
        <f t="shared" si="27"/>
        <v>481</v>
      </c>
      <c r="M100" s="206">
        <f t="shared" si="27"/>
        <v>4919</v>
      </c>
      <c r="N100" s="614"/>
      <c r="O100" s="520"/>
    </row>
    <row r="101" spans="2:15" ht="18" customHeight="1" thickTop="1">
      <c r="B101" s="37"/>
      <c r="C101" s="38"/>
      <c r="D101" s="38"/>
      <c r="E101" s="303"/>
      <c r="F101" s="39"/>
      <c r="G101" s="39"/>
      <c r="H101" s="39"/>
      <c r="I101" s="41"/>
      <c r="J101" s="41"/>
      <c r="K101" s="39"/>
      <c r="L101" s="39"/>
      <c r="M101" s="40" t="s">
        <v>45</v>
      </c>
      <c r="N101" s="40"/>
      <c r="O101" s="27"/>
    </row>
    <row r="102" spans="2:15" ht="18" customHeight="1">
      <c r="E102" s="302"/>
      <c r="F102" s="12"/>
      <c r="G102" s="12"/>
      <c r="H102" s="12"/>
      <c r="I102" s="13"/>
      <c r="J102" s="13"/>
      <c r="K102" s="12"/>
      <c r="L102" s="12"/>
      <c r="M102" s="14"/>
      <c r="N102" s="14"/>
    </row>
    <row r="103" spans="2:15" ht="18" customHeight="1">
      <c r="B103" s="625" t="s">
        <v>205</v>
      </c>
      <c r="C103" s="626"/>
      <c r="D103" s="626"/>
      <c r="E103" s="626"/>
      <c r="F103" s="626"/>
      <c r="G103" s="626"/>
      <c r="H103" s="626"/>
      <c r="I103" s="626"/>
      <c r="J103" s="626"/>
      <c r="K103" s="626"/>
      <c r="L103" s="626"/>
      <c r="M103" s="626"/>
      <c r="N103" s="626"/>
      <c r="O103" s="627"/>
    </row>
    <row r="104" spans="2:15" ht="18" customHeight="1">
      <c r="B104" s="628" t="s">
        <v>725</v>
      </c>
      <c r="C104" s="629"/>
      <c r="D104" s="629"/>
      <c r="E104" s="629"/>
      <c r="F104" s="629"/>
      <c r="G104" s="629"/>
      <c r="H104" s="629"/>
      <c r="I104" s="629"/>
      <c r="J104" s="629"/>
      <c r="K104" s="629"/>
      <c r="L104" s="629"/>
      <c r="M104" s="629"/>
      <c r="N104" s="629"/>
      <c r="O104" s="630"/>
    </row>
    <row r="105" spans="2:15" ht="18" customHeight="1">
      <c r="B105" s="24"/>
      <c r="C105" s="25" t="s">
        <v>0</v>
      </c>
      <c r="D105" s="25"/>
      <c r="E105" s="299"/>
      <c r="O105" s="26"/>
    </row>
    <row r="106" spans="2:15" ht="32.25" customHeight="1" thickBot="1">
      <c r="B106" s="479" t="s">
        <v>1</v>
      </c>
      <c r="C106" s="423" t="s">
        <v>2</v>
      </c>
      <c r="D106" s="423"/>
      <c r="E106" s="424"/>
      <c r="F106" s="423" t="s">
        <v>3</v>
      </c>
      <c r="G106" s="423" t="s">
        <v>4</v>
      </c>
      <c r="H106" s="423" t="s">
        <v>5</v>
      </c>
      <c r="I106" s="423" t="s">
        <v>43</v>
      </c>
      <c r="J106" s="423" t="s">
        <v>554</v>
      </c>
      <c r="K106" s="423" t="s">
        <v>42</v>
      </c>
      <c r="L106" s="423" t="s">
        <v>6</v>
      </c>
      <c r="M106" s="423" t="s">
        <v>7</v>
      </c>
      <c r="N106" s="421" t="s">
        <v>751</v>
      </c>
      <c r="O106" s="425" t="s">
        <v>29</v>
      </c>
    </row>
    <row r="107" spans="2:15" ht="18" customHeight="1" thickTop="1">
      <c r="B107" s="30" t="s">
        <v>23</v>
      </c>
      <c r="E107" s="301"/>
      <c r="O107" s="26"/>
    </row>
    <row r="108" spans="2:15" ht="30" customHeight="1">
      <c r="B108" s="16" t="s">
        <v>369</v>
      </c>
      <c r="C108" s="3" t="s">
        <v>410</v>
      </c>
      <c r="D108" s="8" t="s">
        <v>241</v>
      </c>
      <c r="E108" s="298">
        <f>6324/2</f>
        <v>3162</v>
      </c>
      <c r="F108" s="9">
        <v>3288</v>
      </c>
      <c r="G108" s="9">
        <v>0</v>
      </c>
      <c r="H108" s="9">
        <f>F108</f>
        <v>3288</v>
      </c>
      <c r="I108" s="11"/>
      <c r="J108" s="11"/>
      <c r="K108" s="9">
        <v>94</v>
      </c>
      <c r="L108" s="9">
        <f>K108</f>
        <v>94</v>
      </c>
      <c r="M108" s="9">
        <f>H108+I108-L108-J108</f>
        <v>3194</v>
      </c>
      <c r="N108" s="10">
        <f t="shared" ref="N108:N112" si="28">M108*12</f>
        <v>38328</v>
      </c>
      <c r="O108" s="26"/>
    </row>
    <row r="109" spans="2:15" ht="30" customHeight="1">
      <c r="B109" s="16" t="s">
        <v>370</v>
      </c>
      <c r="C109" s="3" t="s">
        <v>411</v>
      </c>
      <c r="D109" s="8" t="s">
        <v>241</v>
      </c>
      <c r="E109" s="298">
        <f>7940/2</f>
        <v>3970</v>
      </c>
      <c r="F109" s="9">
        <v>4129</v>
      </c>
      <c r="G109" s="9">
        <v>0</v>
      </c>
      <c r="H109" s="9">
        <f>F109</f>
        <v>4129</v>
      </c>
      <c r="I109" s="11"/>
      <c r="J109" s="11"/>
      <c r="K109" s="9">
        <v>312</v>
      </c>
      <c r="L109" s="9">
        <f t="shared" ref="L109:L112" si="29">K109</f>
        <v>312</v>
      </c>
      <c r="M109" s="9">
        <f t="shared" ref="M109:M111" si="30">H109+I109-L109-J109</f>
        <v>3817</v>
      </c>
      <c r="N109" s="10">
        <f t="shared" si="28"/>
        <v>45804</v>
      </c>
      <c r="O109" s="32"/>
    </row>
    <row r="110" spans="2:15" ht="30" customHeight="1">
      <c r="B110" s="16" t="s">
        <v>371</v>
      </c>
      <c r="C110" s="3" t="s">
        <v>412</v>
      </c>
      <c r="D110" s="8" t="s">
        <v>241</v>
      </c>
      <c r="E110" s="298">
        <f>7940/2</f>
        <v>3970</v>
      </c>
      <c r="F110" s="9">
        <v>4129</v>
      </c>
      <c r="G110" s="9">
        <v>0</v>
      </c>
      <c r="H110" s="9">
        <f>F110</f>
        <v>4129</v>
      </c>
      <c r="I110" s="11"/>
      <c r="J110" s="11"/>
      <c r="K110" s="9">
        <v>312</v>
      </c>
      <c r="L110" s="9">
        <f t="shared" si="29"/>
        <v>312</v>
      </c>
      <c r="M110" s="9">
        <f t="shared" si="30"/>
        <v>3817</v>
      </c>
      <c r="N110" s="10">
        <f t="shared" si="28"/>
        <v>45804</v>
      </c>
      <c r="O110" s="26"/>
    </row>
    <row r="111" spans="2:15" ht="30" customHeight="1">
      <c r="B111" s="16" t="s">
        <v>372</v>
      </c>
      <c r="C111" s="3" t="s">
        <v>567</v>
      </c>
      <c r="D111" s="8" t="s">
        <v>241</v>
      </c>
      <c r="E111" s="298">
        <f>7404/2</f>
        <v>3702</v>
      </c>
      <c r="F111" s="9">
        <v>4389</v>
      </c>
      <c r="G111" s="9">
        <v>0</v>
      </c>
      <c r="H111" s="9">
        <f>F111</f>
        <v>4389</v>
      </c>
      <c r="I111" s="11"/>
      <c r="J111" s="11"/>
      <c r="K111" s="9">
        <v>341</v>
      </c>
      <c r="L111" s="9">
        <f t="shared" si="29"/>
        <v>341</v>
      </c>
      <c r="M111" s="9">
        <f t="shared" si="30"/>
        <v>4048</v>
      </c>
      <c r="N111" s="10">
        <f t="shared" si="28"/>
        <v>48576</v>
      </c>
      <c r="O111" s="390"/>
    </row>
    <row r="112" spans="2:15" ht="30" customHeight="1">
      <c r="B112" s="16" t="s">
        <v>373</v>
      </c>
      <c r="C112" s="3" t="s">
        <v>413</v>
      </c>
      <c r="D112" s="8" t="s">
        <v>241</v>
      </c>
      <c r="E112" s="298">
        <f>8172/2</f>
        <v>4086</v>
      </c>
      <c r="F112" s="9">
        <v>4249</v>
      </c>
      <c r="G112" s="9">
        <v>0</v>
      </c>
      <c r="H112" s="9">
        <f>F112</f>
        <v>4249</v>
      </c>
      <c r="I112" s="9"/>
      <c r="J112" s="9"/>
      <c r="K112" s="9">
        <v>325</v>
      </c>
      <c r="L112" s="9">
        <f t="shared" si="29"/>
        <v>325</v>
      </c>
      <c r="M112" s="9">
        <f>H112+I112-L112-J112</f>
        <v>3924</v>
      </c>
      <c r="N112" s="10">
        <f t="shared" si="28"/>
        <v>47088</v>
      </c>
      <c r="O112" s="32"/>
    </row>
    <row r="113" spans="2:15" s="21" customFormat="1" ht="18" customHeight="1" thickBot="1">
      <c r="B113" s="28" t="s">
        <v>9</v>
      </c>
      <c r="C113" s="29"/>
      <c r="D113" s="29"/>
      <c r="E113" s="300"/>
      <c r="F113" s="477">
        <f>SUM(F108:F112)</f>
        <v>20184</v>
      </c>
      <c r="G113" s="477">
        <f t="shared" ref="G113:M113" si="31">SUM(G108:G112)</f>
        <v>0</v>
      </c>
      <c r="H113" s="477">
        <f t="shared" si="31"/>
        <v>20184</v>
      </c>
      <c r="I113" s="477">
        <f t="shared" si="31"/>
        <v>0</v>
      </c>
      <c r="J113" s="477">
        <f>SUM(J108:J112)</f>
        <v>0</v>
      </c>
      <c r="K113" s="477">
        <f t="shared" si="31"/>
        <v>1384</v>
      </c>
      <c r="L113" s="477">
        <f>SUM(L108:L112)</f>
        <v>1384</v>
      </c>
      <c r="M113" s="206">
        <f t="shared" si="31"/>
        <v>18800</v>
      </c>
      <c r="N113" s="602"/>
      <c r="O113" s="522"/>
    </row>
    <row r="114" spans="2:15" ht="18" customHeight="1" thickTop="1">
      <c r="B114" s="24"/>
      <c r="E114" s="301"/>
      <c r="F114" s="12"/>
      <c r="G114" s="12"/>
      <c r="H114" s="12"/>
      <c r="I114" s="13"/>
      <c r="J114" s="13"/>
      <c r="K114" s="12"/>
      <c r="L114" s="12"/>
      <c r="M114" s="14" t="s">
        <v>45</v>
      </c>
      <c r="N114" s="14"/>
      <c r="O114" s="26"/>
    </row>
    <row r="115" spans="2:15" ht="18" customHeight="1">
      <c r="B115" s="24"/>
      <c r="E115" s="301"/>
      <c r="O115" s="26"/>
    </row>
    <row r="116" spans="2:15" ht="18" customHeight="1">
      <c r="B116" s="30" t="s">
        <v>24</v>
      </c>
      <c r="E116" s="301"/>
      <c r="O116" s="26"/>
    </row>
    <row r="117" spans="2:15" ht="18" customHeight="1">
      <c r="B117" s="16" t="s">
        <v>374</v>
      </c>
      <c r="C117" s="3" t="s">
        <v>576</v>
      </c>
      <c r="D117" s="8" t="s">
        <v>577</v>
      </c>
      <c r="E117" s="298">
        <f>12210/2</f>
        <v>6105</v>
      </c>
      <c r="F117" s="369">
        <v>6349</v>
      </c>
      <c r="G117" s="3"/>
      <c r="H117" s="259">
        <f>F117</f>
        <v>6349</v>
      </c>
      <c r="I117" s="3"/>
      <c r="J117" s="369"/>
      <c r="K117" s="3">
        <v>647</v>
      </c>
      <c r="L117" s="3">
        <f>K117</f>
        <v>647</v>
      </c>
      <c r="M117" s="259">
        <f>H117-L117-J117</f>
        <v>5702</v>
      </c>
      <c r="N117" s="10">
        <f t="shared" ref="N117:N118" si="32">M117*12</f>
        <v>68424</v>
      </c>
      <c r="O117" s="26"/>
    </row>
    <row r="118" spans="2:15" ht="30" customHeight="1">
      <c r="B118" s="16" t="s">
        <v>375</v>
      </c>
      <c r="C118" s="3" t="s">
        <v>415</v>
      </c>
      <c r="D118" s="8" t="s">
        <v>237</v>
      </c>
      <c r="E118" s="298">
        <f>7088/2</f>
        <v>3544</v>
      </c>
      <c r="F118" s="9">
        <v>4224</v>
      </c>
      <c r="G118" s="9">
        <v>0</v>
      </c>
      <c r="H118" s="9">
        <f>F118</f>
        <v>4224</v>
      </c>
      <c r="I118" s="11"/>
      <c r="J118" s="11"/>
      <c r="K118" s="9">
        <v>323</v>
      </c>
      <c r="L118" s="22">
        <f>K118</f>
        <v>323</v>
      </c>
      <c r="M118" s="9">
        <f>H118+I118-L118-J118</f>
        <v>3901</v>
      </c>
      <c r="N118" s="10">
        <f t="shared" si="32"/>
        <v>46812</v>
      </c>
      <c r="O118" s="32"/>
    </row>
    <row r="119" spans="2:15" s="21" customFormat="1" ht="18" customHeight="1" thickBot="1">
      <c r="B119" s="28" t="s">
        <v>9</v>
      </c>
      <c r="C119" s="29"/>
      <c r="D119" s="29"/>
      <c r="E119" s="300"/>
      <c r="F119" s="477">
        <f>SUM(F117:F118)</f>
        <v>10573</v>
      </c>
      <c r="G119" s="477">
        <f t="shared" ref="G119:I119" si="33">SUM(G118:G118)</f>
        <v>0</v>
      </c>
      <c r="H119" s="477">
        <f>SUM(H117:H118)</f>
        <v>10573</v>
      </c>
      <c r="I119" s="477">
        <f t="shared" si="33"/>
        <v>0</v>
      </c>
      <c r="J119" s="477">
        <f>J117</f>
        <v>0</v>
      </c>
      <c r="K119" s="477">
        <f>SUM(K117:K118)</f>
        <v>970</v>
      </c>
      <c r="L119" s="477">
        <f>SUM(L117:L118)</f>
        <v>970</v>
      </c>
      <c r="M119" s="206">
        <f>SUM(M117:M118)</f>
        <v>9603</v>
      </c>
      <c r="N119" s="602"/>
      <c r="O119" s="522"/>
    </row>
    <row r="120" spans="2:15" ht="18" customHeight="1" thickTop="1">
      <c r="B120" s="37"/>
      <c r="C120" s="38"/>
      <c r="D120" s="38"/>
      <c r="E120" s="303"/>
      <c r="F120" s="39"/>
      <c r="G120" s="39"/>
      <c r="H120" s="39"/>
      <c r="I120" s="41"/>
      <c r="J120" s="41"/>
      <c r="K120" s="39"/>
      <c r="L120" s="39"/>
      <c r="M120" s="40" t="s">
        <v>45</v>
      </c>
      <c r="N120" s="40"/>
      <c r="O120" s="27"/>
    </row>
    <row r="121" spans="2:15" ht="18" customHeight="1">
      <c r="E121" s="302"/>
    </row>
    <row r="122" spans="2:15" ht="18" customHeight="1">
      <c r="E122" s="302"/>
    </row>
    <row r="123" spans="2:15" ht="18" customHeight="1">
      <c r="E123" s="302"/>
    </row>
    <row r="124" spans="2:15" ht="18" customHeight="1">
      <c r="E124" s="302"/>
    </row>
    <row r="125" spans="2:15" ht="18" customHeight="1">
      <c r="B125" s="625" t="s">
        <v>205</v>
      </c>
      <c r="C125" s="626"/>
      <c r="D125" s="626"/>
      <c r="E125" s="626"/>
      <c r="F125" s="626"/>
      <c r="G125" s="626"/>
      <c r="H125" s="626"/>
      <c r="I125" s="626"/>
      <c r="J125" s="626"/>
      <c r="K125" s="626"/>
      <c r="L125" s="626"/>
      <c r="M125" s="626"/>
      <c r="N125" s="626"/>
      <c r="O125" s="627"/>
    </row>
    <row r="126" spans="2:15" ht="18" customHeight="1">
      <c r="B126" s="628" t="s">
        <v>726</v>
      </c>
      <c r="C126" s="629"/>
      <c r="D126" s="629"/>
      <c r="E126" s="629"/>
      <c r="F126" s="629"/>
      <c r="G126" s="629"/>
      <c r="H126" s="629"/>
      <c r="I126" s="629"/>
      <c r="J126" s="629"/>
      <c r="K126" s="629"/>
      <c r="L126" s="629"/>
      <c r="M126" s="629"/>
      <c r="N126" s="629"/>
      <c r="O126" s="630"/>
    </row>
    <row r="127" spans="2:15" ht="18" customHeight="1">
      <c r="B127" s="24"/>
      <c r="C127" s="25" t="s">
        <v>0</v>
      </c>
      <c r="D127" s="25"/>
      <c r="E127" s="299"/>
      <c r="O127" s="26"/>
    </row>
    <row r="128" spans="2:15" ht="33.75" customHeight="1" thickBot="1">
      <c r="B128" s="479" t="s">
        <v>1</v>
      </c>
      <c r="C128" s="423" t="s">
        <v>2</v>
      </c>
      <c r="D128" s="423"/>
      <c r="E128" s="424"/>
      <c r="F128" s="423" t="s">
        <v>3</v>
      </c>
      <c r="G128" s="423" t="s">
        <v>4</v>
      </c>
      <c r="H128" s="423" t="s">
        <v>5</v>
      </c>
      <c r="I128" s="423" t="s">
        <v>43</v>
      </c>
      <c r="J128" s="423" t="s">
        <v>554</v>
      </c>
      <c r="K128" s="423" t="s">
        <v>42</v>
      </c>
      <c r="L128" s="423" t="s">
        <v>6</v>
      </c>
      <c r="M128" s="423" t="s">
        <v>7</v>
      </c>
      <c r="N128" s="421" t="s">
        <v>751</v>
      </c>
      <c r="O128" s="425" t="s">
        <v>29</v>
      </c>
    </row>
    <row r="129" spans="1:15" ht="18" customHeight="1" thickTop="1">
      <c r="B129" s="30" t="s">
        <v>25</v>
      </c>
      <c r="E129" s="301"/>
      <c r="O129" s="26"/>
    </row>
    <row r="130" spans="1:15" s="542" customFormat="1" ht="35.1" customHeight="1">
      <c r="A130" s="15"/>
      <c r="B130" s="16" t="s">
        <v>376</v>
      </c>
      <c r="C130" s="241" t="s">
        <v>619</v>
      </c>
      <c r="D130" s="8" t="s">
        <v>242</v>
      </c>
      <c r="E130" s="298">
        <f>13768/2</f>
        <v>6884</v>
      </c>
      <c r="F130" s="9">
        <v>7659</v>
      </c>
      <c r="G130" s="9">
        <v>0</v>
      </c>
      <c r="H130" s="9">
        <f>F130</f>
        <v>7659</v>
      </c>
      <c r="I130" s="9"/>
      <c r="J130" s="9"/>
      <c r="K130" s="9">
        <v>915</v>
      </c>
      <c r="L130" s="9">
        <f>K130</f>
        <v>915</v>
      </c>
      <c r="M130" s="9">
        <f t="shared" ref="M130:M134" si="34">H130+I130-L130-J130</f>
        <v>6744</v>
      </c>
      <c r="N130" s="10">
        <f t="shared" ref="N130:N136" si="35">M130*12</f>
        <v>80928</v>
      </c>
      <c r="O130" s="27"/>
    </row>
    <row r="131" spans="1:15" ht="35.1" customHeight="1">
      <c r="B131" s="16" t="s">
        <v>377</v>
      </c>
      <c r="C131" s="3" t="s">
        <v>250</v>
      </c>
      <c r="D131" s="8" t="s">
        <v>244</v>
      </c>
      <c r="E131" s="298">
        <f>6252/2</f>
        <v>3126</v>
      </c>
      <c r="F131" s="9">
        <v>3251</v>
      </c>
      <c r="G131" s="9">
        <v>0</v>
      </c>
      <c r="H131" s="9">
        <f t="shared" ref="H131:H136" si="36">F131</f>
        <v>3251</v>
      </c>
      <c r="I131" s="11"/>
      <c r="J131" s="11"/>
      <c r="K131" s="9">
        <v>90</v>
      </c>
      <c r="L131" s="9">
        <f t="shared" ref="L131:L136" si="37">K131</f>
        <v>90</v>
      </c>
      <c r="M131" s="9">
        <f t="shared" si="34"/>
        <v>3161</v>
      </c>
      <c r="N131" s="10">
        <f t="shared" si="35"/>
        <v>37932</v>
      </c>
      <c r="O131" s="9"/>
    </row>
    <row r="132" spans="1:15" ht="35.1" customHeight="1">
      <c r="B132" s="16" t="s">
        <v>378</v>
      </c>
      <c r="C132" s="3" t="s">
        <v>249</v>
      </c>
      <c r="D132" s="8" t="s">
        <v>245</v>
      </c>
      <c r="E132" s="298">
        <f>8102/2</f>
        <v>4051</v>
      </c>
      <c r="F132" s="9">
        <v>4213</v>
      </c>
      <c r="G132" s="9">
        <v>0</v>
      </c>
      <c r="H132" s="9">
        <f t="shared" si="36"/>
        <v>4213</v>
      </c>
      <c r="I132" s="9"/>
      <c r="J132" s="9"/>
      <c r="K132" s="9">
        <v>321</v>
      </c>
      <c r="L132" s="9">
        <f>J132+K132</f>
        <v>321</v>
      </c>
      <c r="M132" s="9">
        <f>H132-L132</f>
        <v>3892</v>
      </c>
      <c r="N132" s="10">
        <f t="shared" si="35"/>
        <v>46704</v>
      </c>
      <c r="O132" s="9"/>
    </row>
    <row r="133" spans="1:15" ht="35.1" customHeight="1">
      <c r="B133" s="16" t="s">
        <v>379</v>
      </c>
      <c r="C133" s="3" t="s">
        <v>568</v>
      </c>
      <c r="D133" s="8" t="s">
        <v>237</v>
      </c>
      <c r="E133" s="298">
        <f>7170/2</f>
        <v>3585</v>
      </c>
      <c r="F133" s="9">
        <v>3728</v>
      </c>
      <c r="G133" s="9">
        <v>0</v>
      </c>
      <c r="H133" s="9">
        <f t="shared" si="36"/>
        <v>3728</v>
      </c>
      <c r="I133" s="11"/>
      <c r="J133" s="11"/>
      <c r="K133" s="9">
        <v>269</v>
      </c>
      <c r="L133" s="9">
        <f t="shared" si="37"/>
        <v>269</v>
      </c>
      <c r="M133" s="9">
        <f t="shared" si="34"/>
        <v>3459</v>
      </c>
      <c r="N133" s="10">
        <f t="shared" si="35"/>
        <v>41508</v>
      </c>
      <c r="O133" s="9"/>
    </row>
    <row r="134" spans="1:15" ht="35.1" customHeight="1">
      <c r="B134" s="16" t="s">
        <v>380</v>
      </c>
      <c r="C134" s="3" t="s">
        <v>247</v>
      </c>
      <c r="D134" s="8" t="s">
        <v>237</v>
      </c>
      <c r="E134" s="298">
        <f>6280/2</f>
        <v>3140</v>
      </c>
      <c r="F134" s="9">
        <v>3266</v>
      </c>
      <c r="G134" s="9">
        <v>0</v>
      </c>
      <c r="H134" s="9">
        <f t="shared" si="36"/>
        <v>3266</v>
      </c>
      <c r="I134" s="11"/>
      <c r="J134" s="11"/>
      <c r="K134" s="9">
        <v>92</v>
      </c>
      <c r="L134" s="9">
        <f t="shared" si="37"/>
        <v>92</v>
      </c>
      <c r="M134" s="9">
        <f t="shared" si="34"/>
        <v>3174</v>
      </c>
      <c r="N134" s="10">
        <f t="shared" si="35"/>
        <v>38088</v>
      </c>
      <c r="O134" s="9"/>
    </row>
    <row r="135" spans="1:15" ht="35.1" customHeight="1">
      <c r="B135" s="16" t="s">
        <v>381</v>
      </c>
      <c r="C135" s="3" t="s">
        <v>560</v>
      </c>
      <c r="D135" s="8" t="s">
        <v>245</v>
      </c>
      <c r="E135" s="298">
        <f>7160/2</f>
        <v>3580</v>
      </c>
      <c r="F135" s="9">
        <v>3723</v>
      </c>
      <c r="G135" s="9">
        <v>0</v>
      </c>
      <c r="H135" s="9">
        <f t="shared" si="36"/>
        <v>3723</v>
      </c>
      <c r="I135" s="11"/>
      <c r="J135" s="11"/>
      <c r="K135" s="9">
        <v>268</v>
      </c>
      <c r="L135" s="9">
        <f t="shared" si="37"/>
        <v>268</v>
      </c>
      <c r="M135" s="9">
        <f t="shared" ref="M135" si="38">H135+I135-L135-J135</f>
        <v>3455</v>
      </c>
      <c r="N135" s="10">
        <f t="shared" si="35"/>
        <v>41460</v>
      </c>
      <c r="O135" s="9"/>
    </row>
    <row r="136" spans="1:15" ht="35.1" customHeight="1">
      <c r="B136" s="16" t="s">
        <v>382</v>
      </c>
      <c r="C136" s="3" t="s">
        <v>246</v>
      </c>
      <c r="D136" s="8" t="s">
        <v>245</v>
      </c>
      <c r="E136" s="298">
        <f>7160/2</f>
        <v>3580</v>
      </c>
      <c r="F136" s="9">
        <v>3723</v>
      </c>
      <c r="G136" s="9">
        <v>0</v>
      </c>
      <c r="H136" s="9">
        <f t="shared" si="36"/>
        <v>3723</v>
      </c>
      <c r="I136" s="11"/>
      <c r="J136" s="11"/>
      <c r="K136" s="9">
        <v>268</v>
      </c>
      <c r="L136" s="9">
        <f t="shared" si="37"/>
        <v>268</v>
      </c>
      <c r="M136" s="9">
        <f>H136+I136-L136-J136</f>
        <v>3455</v>
      </c>
      <c r="N136" s="10">
        <f t="shared" si="35"/>
        <v>41460</v>
      </c>
      <c r="O136" s="9"/>
    </row>
    <row r="137" spans="1:15" s="21" customFormat="1" ht="18" customHeight="1" thickBot="1">
      <c r="B137" s="28" t="s">
        <v>9</v>
      </c>
      <c r="C137" s="29"/>
      <c r="D137" s="29"/>
      <c r="E137" s="300"/>
      <c r="F137" s="477">
        <f t="shared" ref="F137:M137" si="39">SUM(F130:F136)</f>
        <v>29563</v>
      </c>
      <c r="G137" s="477">
        <f t="shared" si="39"/>
        <v>0</v>
      </c>
      <c r="H137" s="477">
        <f t="shared" si="39"/>
        <v>29563</v>
      </c>
      <c r="I137" s="477">
        <f t="shared" si="39"/>
        <v>0</v>
      </c>
      <c r="J137" s="477">
        <f t="shared" si="39"/>
        <v>0</v>
      </c>
      <c r="K137" s="477">
        <f t="shared" si="39"/>
        <v>2223</v>
      </c>
      <c r="L137" s="477">
        <f t="shared" si="39"/>
        <v>2223</v>
      </c>
      <c r="M137" s="206">
        <f t="shared" si="39"/>
        <v>27340</v>
      </c>
      <c r="N137" s="602"/>
      <c r="O137" s="524"/>
    </row>
    <row r="138" spans="1:15" ht="18" customHeight="1" thickTop="1">
      <c r="B138" s="24"/>
      <c r="E138" s="301"/>
      <c r="F138" s="12"/>
      <c r="G138" s="12"/>
      <c r="H138" s="12"/>
      <c r="I138" s="13"/>
      <c r="J138" s="13"/>
      <c r="K138" s="12"/>
      <c r="L138" s="12"/>
      <c r="M138" s="44" t="s">
        <v>45</v>
      </c>
      <c r="N138" s="44"/>
      <c r="O138" s="26"/>
    </row>
    <row r="139" spans="1:15" ht="18" customHeight="1">
      <c r="B139" s="37"/>
      <c r="C139" s="38"/>
      <c r="D139" s="38"/>
      <c r="E139" s="303"/>
      <c r="F139" s="38"/>
      <c r="G139" s="38"/>
      <c r="H139" s="38"/>
      <c r="I139" s="38"/>
      <c r="J139" s="38"/>
      <c r="K139" s="38"/>
      <c r="L139" s="38"/>
      <c r="M139" s="38"/>
      <c r="N139" s="38"/>
      <c r="O139" s="27"/>
    </row>
    <row r="140" spans="1:15" ht="18" customHeight="1">
      <c r="E140" s="302"/>
    </row>
    <row r="141" spans="1:15" ht="18" customHeight="1">
      <c r="E141" s="302"/>
    </row>
    <row r="142" spans="1:15" ht="18" customHeight="1">
      <c r="E142" s="302"/>
    </row>
    <row r="143" spans="1:15" ht="18" customHeight="1">
      <c r="B143" s="625" t="s">
        <v>205</v>
      </c>
      <c r="C143" s="626"/>
      <c r="D143" s="626"/>
      <c r="E143" s="626"/>
      <c r="F143" s="626"/>
      <c r="G143" s="626"/>
      <c r="H143" s="626"/>
      <c r="I143" s="626"/>
      <c r="J143" s="626"/>
      <c r="K143" s="626"/>
      <c r="L143" s="626"/>
      <c r="M143" s="626"/>
      <c r="N143" s="626"/>
      <c r="O143" s="627"/>
    </row>
    <row r="144" spans="1:15" ht="18" customHeight="1">
      <c r="B144" s="628" t="s">
        <v>726</v>
      </c>
      <c r="C144" s="629"/>
      <c r="D144" s="629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30"/>
    </row>
    <row r="145" spans="2:15" ht="18" customHeight="1">
      <c r="B145" s="24"/>
      <c r="C145" s="25" t="s">
        <v>0</v>
      </c>
      <c r="D145" s="25"/>
      <c r="E145" s="299"/>
      <c r="O145" s="26"/>
    </row>
    <row r="146" spans="2:15" ht="36.75" customHeight="1" thickBot="1">
      <c r="B146" s="479" t="s">
        <v>1</v>
      </c>
      <c r="C146" s="423" t="s">
        <v>2</v>
      </c>
      <c r="D146" s="423"/>
      <c r="E146" s="424"/>
      <c r="F146" s="423" t="s">
        <v>3</v>
      </c>
      <c r="G146" s="423" t="s">
        <v>4</v>
      </c>
      <c r="H146" s="423" t="s">
        <v>5</v>
      </c>
      <c r="I146" s="423" t="s">
        <v>43</v>
      </c>
      <c r="J146" s="423" t="s">
        <v>554</v>
      </c>
      <c r="K146" s="423" t="s">
        <v>42</v>
      </c>
      <c r="L146" s="423" t="s">
        <v>6</v>
      </c>
      <c r="M146" s="423" t="s">
        <v>7</v>
      </c>
      <c r="N146" s="421" t="s">
        <v>751</v>
      </c>
      <c r="O146" s="425" t="s">
        <v>29</v>
      </c>
    </row>
    <row r="147" spans="2:15" ht="18" customHeight="1" thickTop="1">
      <c r="B147" s="30" t="s">
        <v>26</v>
      </c>
      <c r="E147" s="301"/>
      <c r="O147" s="26"/>
    </row>
    <row r="148" spans="2:15" ht="30" customHeight="1">
      <c r="B148" s="16" t="s">
        <v>383</v>
      </c>
      <c r="C148" s="3" t="s">
        <v>606</v>
      </c>
      <c r="D148" s="8" t="s">
        <v>251</v>
      </c>
      <c r="E148" s="298">
        <f>6376/2</f>
        <v>3188</v>
      </c>
      <c r="F148" s="9">
        <v>3316</v>
      </c>
      <c r="G148" s="9">
        <v>0</v>
      </c>
      <c r="H148" s="9">
        <f>F148</f>
        <v>3316</v>
      </c>
      <c r="I148" s="11"/>
      <c r="J148" s="11"/>
      <c r="K148" s="9">
        <v>97</v>
      </c>
      <c r="L148" s="9">
        <f>K148</f>
        <v>97</v>
      </c>
      <c r="M148" s="9">
        <f>H148+I148-L148-J148</f>
        <v>3219</v>
      </c>
      <c r="N148" s="10">
        <f t="shared" ref="N148:N149" si="40">M148*12</f>
        <v>38628</v>
      </c>
      <c r="O148" s="27"/>
    </row>
    <row r="149" spans="2:15" ht="30" customHeight="1">
      <c r="B149" s="16" t="s">
        <v>384</v>
      </c>
      <c r="C149" s="3" t="s">
        <v>570</v>
      </c>
      <c r="D149" s="8" t="s">
        <v>252</v>
      </c>
      <c r="E149" s="298">
        <f>10384/2</f>
        <v>5192</v>
      </c>
      <c r="F149" s="9">
        <v>5400</v>
      </c>
      <c r="G149" s="9">
        <v>0</v>
      </c>
      <c r="H149" s="9">
        <f>F149</f>
        <v>5400</v>
      </c>
      <c r="I149" s="9"/>
      <c r="J149" s="9"/>
      <c r="K149" s="9">
        <v>481</v>
      </c>
      <c r="L149" s="9">
        <f>K149</f>
        <v>481</v>
      </c>
      <c r="M149" s="9">
        <f>H149+I149-L149-J149</f>
        <v>4919</v>
      </c>
      <c r="N149" s="10">
        <f t="shared" si="40"/>
        <v>59028</v>
      </c>
      <c r="O149" s="26"/>
    </row>
    <row r="150" spans="2:15" s="21" customFormat="1" ht="30" customHeight="1" thickBot="1">
      <c r="B150" s="28" t="s">
        <v>9</v>
      </c>
      <c r="C150" s="29"/>
      <c r="D150" s="29"/>
      <c r="E150" s="300"/>
      <c r="F150" s="477">
        <f>SUM(F148:F149)</f>
        <v>8716</v>
      </c>
      <c r="G150" s="477">
        <f t="shared" ref="G150:I150" si="41">SUM(G148:G149)</f>
        <v>0</v>
      </c>
      <c r="H150" s="477">
        <f>SUM(H148:H149)</f>
        <v>8716</v>
      </c>
      <c r="I150" s="477">
        <f t="shared" si="41"/>
        <v>0</v>
      </c>
      <c r="J150" s="477">
        <f>SUM(J148:J149)</f>
        <v>0</v>
      </c>
      <c r="K150" s="477">
        <f>SUM(K148:K149)</f>
        <v>578</v>
      </c>
      <c r="L150" s="477">
        <f>SUM(L148:L149)</f>
        <v>578</v>
      </c>
      <c r="M150" s="206">
        <f>SUM(M148:M149)</f>
        <v>8138</v>
      </c>
      <c r="N150" s="614"/>
      <c r="O150" s="520"/>
    </row>
    <row r="151" spans="2:15" ht="18" customHeight="1" thickTop="1">
      <c r="B151" s="24"/>
      <c r="E151" s="301"/>
      <c r="F151" s="12"/>
      <c r="G151" s="12"/>
      <c r="H151" s="12"/>
      <c r="I151" s="13"/>
      <c r="J151" s="13"/>
      <c r="K151" s="12"/>
      <c r="L151" s="12"/>
      <c r="M151" s="14" t="s">
        <v>45</v>
      </c>
      <c r="N151" s="14"/>
      <c r="O151" s="26"/>
    </row>
    <row r="152" spans="2:15" ht="18" customHeight="1">
      <c r="B152" s="24"/>
      <c r="E152" s="301"/>
      <c r="O152" s="26"/>
    </row>
    <row r="153" spans="2:15" ht="18" customHeight="1">
      <c r="B153" s="30" t="s">
        <v>535</v>
      </c>
      <c r="E153" s="301"/>
      <c r="O153" s="26"/>
    </row>
    <row r="154" spans="2:15" ht="30" customHeight="1">
      <c r="B154" s="16" t="s">
        <v>385</v>
      </c>
      <c r="C154" s="3" t="s">
        <v>703</v>
      </c>
      <c r="D154" s="8" t="s">
        <v>253</v>
      </c>
      <c r="E154" s="298">
        <f>13508/2</f>
        <v>6754</v>
      </c>
      <c r="F154" s="369">
        <v>7024</v>
      </c>
      <c r="G154" s="22">
        <v>0</v>
      </c>
      <c r="H154" s="22">
        <f>F154</f>
        <v>7024</v>
      </c>
      <c r="I154" s="22"/>
      <c r="J154" s="22">
        <v>0</v>
      </c>
      <c r="K154" s="22">
        <v>780</v>
      </c>
      <c r="L154" s="22">
        <f>K154</f>
        <v>780</v>
      </c>
      <c r="M154" s="22">
        <f>H154+I154-L154-J154</f>
        <v>6244</v>
      </c>
      <c r="N154" s="10">
        <f>M154*12</f>
        <v>74928</v>
      </c>
      <c r="O154" s="27"/>
    </row>
    <row r="155" spans="2:15" s="21" customFormat="1" ht="30" customHeight="1" thickBot="1">
      <c r="B155" s="28" t="s">
        <v>9</v>
      </c>
      <c r="C155" s="29"/>
      <c r="D155" s="29"/>
      <c r="E155" s="300"/>
      <c r="F155" s="523">
        <f>SUM(F154)</f>
        <v>7024</v>
      </c>
      <c r="G155" s="523">
        <f t="shared" ref="G155:M155" si="42">SUM(G154)</f>
        <v>0</v>
      </c>
      <c r="H155" s="523">
        <f>SUM(H154)</f>
        <v>7024</v>
      </c>
      <c r="I155" s="523">
        <f t="shared" si="42"/>
        <v>0</v>
      </c>
      <c r="J155" s="523">
        <f>SUM(J154)</f>
        <v>0</v>
      </c>
      <c r="K155" s="523">
        <f>SUM(K154)</f>
        <v>780</v>
      </c>
      <c r="L155" s="523">
        <f>SUM(L154)</f>
        <v>780</v>
      </c>
      <c r="M155" s="505">
        <f t="shared" si="42"/>
        <v>6244</v>
      </c>
      <c r="N155" s="615"/>
      <c r="O155" s="522"/>
    </row>
    <row r="156" spans="2:15" ht="18" customHeight="1" thickTop="1">
      <c r="B156" s="24"/>
      <c r="E156" s="301"/>
      <c r="F156" s="12"/>
      <c r="G156" s="12"/>
      <c r="H156" s="12"/>
      <c r="I156" s="12"/>
      <c r="J156" s="12"/>
      <c r="K156" s="12"/>
      <c r="L156" s="12"/>
      <c r="M156" s="14" t="s">
        <v>45</v>
      </c>
      <c r="N156" s="14"/>
      <c r="O156" s="26"/>
    </row>
    <row r="157" spans="2:15" ht="18" customHeight="1">
      <c r="B157" s="24"/>
      <c r="E157" s="301"/>
      <c r="F157" s="12"/>
      <c r="G157" s="12"/>
      <c r="H157" s="12"/>
      <c r="I157" s="12"/>
      <c r="J157" s="12"/>
      <c r="K157" s="12"/>
      <c r="L157" s="12"/>
      <c r="M157" s="14"/>
      <c r="N157" s="14"/>
      <c r="O157" s="26"/>
    </row>
    <row r="158" spans="2:15" ht="18" customHeight="1">
      <c r="B158" s="625" t="s">
        <v>205</v>
      </c>
      <c r="C158" s="626"/>
      <c r="D158" s="626"/>
      <c r="E158" s="626"/>
      <c r="F158" s="626"/>
      <c r="G158" s="626"/>
      <c r="H158" s="626"/>
      <c r="I158" s="626"/>
      <c r="J158" s="626"/>
      <c r="K158" s="626"/>
      <c r="L158" s="626"/>
      <c r="M158" s="626"/>
      <c r="N158" s="626"/>
      <c r="O158" s="627"/>
    </row>
    <row r="159" spans="2:15" ht="18" customHeight="1">
      <c r="B159" s="628" t="s">
        <v>727</v>
      </c>
      <c r="C159" s="629"/>
      <c r="D159" s="629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30"/>
    </row>
    <row r="160" spans="2:15" ht="18" customHeight="1">
      <c r="B160" s="24"/>
      <c r="C160" s="25" t="s">
        <v>0</v>
      </c>
      <c r="D160" s="25"/>
      <c r="E160" s="299"/>
      <c r="O160" s="26"/>
    </row>
    <row r="161" spans="1:69" ht="18" customHeight="1">
      <c r="B161" s="24"/>
      <c r="O161" s="26"/>
    </row>
    <row r="162" spans="1:69" ht="18" customHeight="1">
      <c r="B162" s="30" t="s">
        <v>698</v>
      </c>
      <c r="E162" s="301"/>
      <c r="O162" s="26"/>
    </row>
    <row r="163" spans="1:69" s="542" customFormat="1" ht="18" customHeight="1">
      <c r="A163" s="543"/>
      <c r="B163" s="16" t="s">
        <v>386</v>
      </c>
      <c r="C163" s="3" t="s">
        <v>680</v>
      </c>
      <c r="D163" s="8" t="s">
        <v>232</v>
      </c>
      <c r="E163" s="298">
        <f>12210/2</f>
        <v>6105</v>
      </c>
      <c r="F163" s="9">
        <v>6349</v>
      </c>
      <c r="G163" s="9">
        <v>0</v>
      </c>
      <c r="H163" s="9">
        <f>F163</f>
        <v>6349</v>
      </c>
      <c r="I163" s="9"/>
      <c r="J163" s="9"/>
      <c r="K163" s="9">
        <v>647</v>
      </c>
      <c r="L163" s="9">
        <f>K163</f>
        <v>647</v>
      </c>
      <c r="M163" s="9">
        <f>H163+I163-L163-J163</f>
        <v>5702</v>
      </c>
      <c r="N163" s="10">
        <f t="shared" ref="N163:N164" si="43">M163*12</f>
        <v>68424</v>
      </c>
      <c r="O163" s="556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</row>
    <row r="164" spans="1:69" s="542" customFormat="1" ht="18" customHeight="1">
      <c r="A164" s="543"/>
      <c r="B164" s="16"/>
      <c r="C164" s="3"/>
      <c r="D164" s="8"/>
      <c r="E164" s="298"/>
      <c r="F164" s="9"/>
      <c r="G164" s="9"/>
      <c r="H164" s="9"/>
      <c r="I164" s="9"/>
      <c r="J164" s="9"/>
      <c r="K164" s="9"/>
      <c r="L164" s="9"/>
      <c r="M164" s="9"/>
      <c r="N164" s="10">
        <f t="shared" si="43"/>
        <v>0</v>
      </c>
      <c r="O164" s="369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</row>
    <row r="165" spans="1:69" ht="18" customHeight="1" thickBot="1">
      <c r="B165" s="28" t="s">
        <v>9</v>
      </c>
      <c r="C165" s="29"/>
      <c r="D165" s="29"/>
      <c r="E165" s="300"/>
      <c r="F165" s="477">
        <f>SUM(F163:F164)</f>
        <v>6349</v>
      </c>
      <c r="G165" s="477">
        <f t="shared" ref="G165:I165" si="44">SUM(G163:G163)</f>
        <v>0</v>
      </c>
      <c r="H165" s="477">
        <f>SUM(H163:H164)</f>
        <v>6349</v>
      </c>
      <c r="I165" s="477">
        <f t="shared" si="44"/>
        <v>0</v>
      </c>
      <c r="J165" s="477">
        <f>SUM(J163)</f>
        <v>0</v>
      </c>
      <c r="K165" s="477">
        <f>SUM(K163:K164)</f>
        <v>647</v>
      </c>
      <c r="L165" s="477">
        <f>SUM(L163:L164)</f>
        <v>647</v>
      </c>
      <c r="M165" s="206">
        <f>SUM(M163:M164)</f>
        <v>5702</v>
      </c>
      <c r="N165" s="602"/>
      <c r="O165" s="522"/>
    </row>
    <row r="166" spans="1:69" ht="18" customHeight="1" thickTop="1">
      <c r="B166" s="37"/>
      <c r="C166" s="38"/>
      <c r="D166" s="38"/>
      <c r="E166" s="303"/>
      <c r="F166" s="39"/>
      <c r="G166" s="39"/>
      <c r="H166" s="39"/>
      <c r="I166" s="41"/>
      <c r="J166" s="41"/>
      <c r="K166" s="39"/>
      <c r="L166" s="39"/>
      <c r="M166" s="40" t="s">
        <v>45</v>
      </c>
      <c r="N166" s="40"/>
      <c r="O166" s="27"/>
    </row>
    <row r="167" spans="1:69" ht="18" customHeight="1">
      <c r="B167" s="24"/>
      <c r="C167" s="25" t="s">
        <v>0</v>
      </c>
      <c r="D167" s="25"/>
      <c r="E167" s="299"/>
      <c r="O167" s="26"/>
    </row>
    <row r="168" spans="1:69" ht="36.75" customHeight="1" thickBot="1">
      <c r="B168" s="479" t="s">
        <v>1</v>
      </c>
      <c r="C168" s="423" t="s">
        <v>2</v>
      </c>
      <c r="D168" s="423"/>
      <c r="E168" s="424"/>
      <c r="F168" s="423" t="s">
        <v>3</v>
      </c>
      <c r="G168" s="423" t="s">
        <v>4</v>
      </c>
      <c r="H168" s="423" t="s">
        <v>5</v>
      </c>
      <c r="I168" s="423" t="s">
        <v>43</v>
      </c>
      <c r="J168" s="423" t="s">
        <v>554</v>
      </c>
      <c r="K168" s="423" t="s">
        <v>42</v>
      </c>
      <c r="L168" s="423" t="s">
        <v>6</v>
      </c>
      <c r="M168" s="423" t="s">
        <v>7</v>
      </c>
      <c r="N168" s="421" t="s">
        <v>751</v>
      </c>
      <c r="O168" s="425" t="s">
        <v>29</v>
      </c>
    </row>
    <row r="169" spans="1:69" ht="18" customHeight="1" thickTop="1">
      <c r="B169" s="30" t="s">
        <v>699</v>
      </c>
      <c r="E169" s="306"/>
      <c r="O169" s="26"/>
    </row>
    <row r="170" spans="1:69" ht="30" customHeight="1">
      <c r="B170" s="16" t="s">
        <v>387</v>
      </c>
      <c r="C170" s="3" t="s">
        <v>569</v>
      </c>
      <c r="D170" s="8" t="s">
        <v>232</v>
      </c>
      <c r="E170" s="298">
        <f>10384/2</f>
        <v>5192</v>
      </c>
      <c r="F170" s="9">
        <v>5400</v>
      </c>
      <c r="G170" s="9">
        <v>0</v>
      </c>
      <c r="H170" s="9">
        <f>F170</f>
        <v>5400</v>
      </c>
      <c r="I170" s="9"/>
      <c r="J170" s="9"/>
      <c r="K170" s="9">
        <v>481</v>
      </c>
      <c r="L170" s="9">
        <f>K170</f>
        <v>481</v>
      </c>
      <c r="M170" s="9">
        <f>H170+I170-L170-J170</f>
        <v>4919</v>
      </c>
      <c r="N170" s="10">
        <f>M170*12</f>
        <v>59028</v>
      </c>
      <c r="O170" s="576"/>
    </row>
    <row r="171" spans="1:69" s="21" customFormat="1" ht="30" customHeight="1" thickBot="1">
      <c r="B171" s="28" t="s">
        <v>9</v>
      </c>
      <c r="C171" s="29"/>
      <c r="D171" s="29"/>
      <c r="E171" s="304"/>
      <c r="F171" s="521">
        <f>SUM(F170)</f>
        <v>5400</v>
      </c>
      <c r="G171" s="521">
        <f t="shared" ref="G171:I171" si="45">SUM(G170)</f>
        <v>0</v>
      </c>
      <c r="H171" s="521">
        <f>SUM(H170)</f>
        <v>5400</v>
      </c>
      <c r="I171" s="521">
        <f t="shared" si="45"/>
        <v>0</v>
      </c>
      <c r="J171" s="521">
        <f>SUM(J170)</f>
        <v>0</v>
      </c>
      <c r="K171" s="521">
        <f>SUM(K170)</f>
        <v>481</v>
      </c>
      <c r="L171" s="521">
        <f>SUM(L170)</f>
        <v>481</v>
      </c>
      <c r="M171" s="506">
        <f>SUM(M170)</f>
        <v>4919</v>
      </c>
      <c r="N171" s="616"/>
      <c r="O171" s="520"/>
    </row>
    <row r="172" spans="1:69" ht="18" customHeight="1" thickTop="1">
      <c r="B172" s="24"/>
      <c r="E172" s="306"/>
      <c r="F172" s="12"/>
      <c r="G172" s="12"/>
      <c r="H172" s="12"/>
      <c r="I172" s="12"/>
      <c r="J172" s="12"/>
      <c r="K172" s="12"/>
      <c r="L172" s="12"/>
      <c r="M172" s="12"/>
      <c r="N172" s="12"/>
      <c r="O172" s="26"/>
    </row>
    <row r="173" spans="1:69" ht="18" customHeight="1">
      <c r="B173" s="24"/>
      <c r="C173" s="25" t="s">
        <v>0</v>
      </c>
      <c r="D173" s="25"/>
      <c r="E173" s="299"/>
      <c r="O173" s="26"/>
    </row>
    <row r="174" spans="1:69" ht="36.75" customHeight="1" thickBot="1">
      <c r="B174" s="479" t="s">
        <v>1</v>
      </c>
      <c r="C174" s="423" t="s">
        <v>2</v>
      </c>
      <c r="D174" s="423"/>
      <c r="E174" s="424"/>
      <c r="F174" s="423" t="s">
        <v>3</v>
      </c>
      <c r="G174" s="423" t="s">
        <v>4</v>
      </c>
      <c r="H174" s="423" t="s">
        <v>5</v>
      </c>
      <c r="I174" s="423" t="s">
        <v>43</v>
      </c>
      <c r="J174" s="423" t="s">
        <v>554</v>
      </c>
      <c r="K174" s="423" t="s">
        <v>42</v>
      </c>
      <c r="L174" s="423" t="s">
        <v>6</v>
      </c>
      <c r="M174" s="423" t="s">
        <v>7</v>
      </c>
      <c r="N174" s="421" t="s">
        <v>751</v>
      </c>
      <c r="O174" s="425" t="s">
        <v>29</v>
      </c>
    </row>
    <row r="175" spans="1:69" s="21" customFormat="1" ht="18.75" customHeight="1" thickTop="1">
      <c r="B175" s="30" t="s">
        <v>700</v>
      </c>
      <c r="C175" s="15"/>
      <c r="D175" s="15"/>
      <c r="E175" s="306"/>
      <c r="F175" s="15"/>
      <c r="G175" s="15"/>
      <c r="H175" s="15"/>
      <c r="I175" s="15"/>
      <c r="J175" s="15"/>
      <c r="K175" s="15"/>
      <c r="L175" s="15"/>
      <c r="M175" s="15"/>
      <c r="N175" s="15"/>
      <c r="O175" s="36"/>
    </row>
    <row r="176" spans="1:69" s="21" customFormat="1" ht="18.75" customHeight="1">
      <c r="B176" s="16" t="s">
        <v>388</v>
      </c>
      <c r="C176" s="212" t="s">
        <v>428</v>
      </c>
      <c r="D176" s="8" t="s">
        <v>530</v>
      </c>
      <c r="E176" s="307">
        <f>12210/2</f>
        <v>6105</v>
      </c>
      <c r="F176" s="369">
        <v>8600</v>
      </c>
      <c r="G176" s="22">
        <v>0</v>
      </c>
      <c r="H176" s="22">
        <f>F176</f>
        <v>8600</v>
      </c>
      <c r="I176" s="22"/>
      <c r="J176" s="369"/>
      <c r="K176" s="22">
        <v>1116</v>
      </c>
      <c r="L176" s="22">
        <f>J176+K176</f>
        <v>1116</v>
      </c>
      <c r="M176" s="22">
        <f>H176-L176</f>
        <v>7484</v>
      </c>
      <c r="N176" s="10">
        <f>M176*12</f>
        <v>89808</v>
      </c>
      <c r="O176" s="36"/>
    </row>
    <row r="177" spans="1:15" s="21" customFormat="1" ht="18.75" customHeight="1">
      <c r="B177" s="30"/>
      <c r="C177" s="15"/>
      <c r="D177" s="15"/>
      <c r="E177" s="306"/>
      <c r="F177" s="518">
        <f>F176</f>
        <v>8600</v>
      </c>
      <c r="G177" s="519">
        <f>SUM(G176)</f>
        <v>0</v>
      </c>
      <c r="H177" s="518">
        <f>SUM(H176)</f>
        <v>8600</v>
      </c>
      <c r="I177" s="518">
        <f t="shared" ref="I177:L177" si="46">SUM(I176)</f>
        <v>0</v>
      </c>
      <c r="J177" s="518">
        <f>SUM(J176)</f>
        <v>0</v>
      </c>
      <c r="K177" s="518">
        <f>SUM(K176)</f>
        <v>1116</v>
      </c>
      <c r="L177" s="518">
        <f t="shared" si="46"/>
        <v>1116</v>
      </c>
      <c r="M177" s="507">
        <f>M176</f>
        <v>7484</v>
      </c>
      <c r="N177" s="507"/>
      <c r="O177" s="520"/>
    </row>
    <row r="178" spans="1:15" s="21" customFormat="1" ht="18.75" customHeight="1">
      <c r="B178" s="24"/>
      <c r="C178" s="25" t="s">
        <v>0</v>
      </c>
      <c r="D178" s="25"/>
      <c r="E178" s="299"/>
      <c r="F178" s="15"/>
      <c r="G178" s="15"/>
      <c r="H178" s="15"/>
      <c r="I178" s="15"/>
      <c r="J178" s="15"/>
      <c r="K178" s="15"/>
      <c r="L178" s="15"/>
      <c r="M178" s="15"/>
      <c r="N178" s="15"/>
      <c r="O178" s="26"/>
    </row>
    <row r="179" spans="1:15" s="21" customFormat="1" ht="42.75" customHeight="1" thickBot="1">
      <c r="B179" s="479" t="s">
        <v>1</v>
      </c>
      <c r="C179" s="423" t="s">
        <v>2</v>
      </c>
      <c r="D179" s="423"/>
      <c r="E179" s="424"/>
      <c r="F179" s="423" t="s">
        <v>3</v>
      </c>
      <c r="G179" s="423" t="s">
        <v>4</v>
      </c>
      <c r="H179" s="423" t="s">
        <v>5</v>
      </c>
      <c r="I179" s="423" t="s">
        <v>43</v>
      </c>
      <c r="J179" s="423" t="s">
        <v>554</v>
      </c>
      <c r="K179" s="423" t="s">
        <v>42</v>
      </c>
      <c r="L179" s="423" t="s">
        <v>6</v>
      </c>
      <c r="M179" s="423" t="s">
        <v>7</v>
      </c>
      <c r="N179" s="421" t="s">
        <v>751</v>
      </c>
      <c r="O179" s="425" t="s">
        <v>29</v>
      </c>
    </row>
    <row r="180" spans="1:15" s="21" customFormat="1" ht="18.75" customHeight="1" thickTop="1">
      <c r="B180" s="646" t="s">
        <v>701</v>
      </c>
      <c r="C180" s="647"/>
      <c r="D180" s="255"/>
      <c r="E180" s="308"/>
      <c r="F180" s="255"/>
      <c r="G180" s="256"/>
      <c r="H180" s="256"/>
      <c r="I180" s="255"/>
      <c r="J180" s="255"/>
      <c r="K180" s="255"/>
      <c r="L180" s="256"/>
      <c r="M180" s="257"/>
      <c r="N180" s="257"/>
      <c r="O180" s="258"/>
    </row>
    <row r="181" spans="1:15" s="21" customFormat="1" ht="18.75" customHeight="1">
      <c r="B181" s="16" t="s">
        <v>696</v>
      </c>
      <c r="C181" s="241" t="s">
        <v>555</v>
      </c>
      <c r="D181" s="261" t="s">
        <v>192</v>
      </c>
      <c r="E181" s="309">
        <f>10384/2</f>
        <v>5192</v>
      </c>
      <c r="F181" s="259">
        <v>5400</v>
      </c>
      <c r="G181" s="3">
        <v>0</v>
      </c>
      <c r="H181" s="259">
        <f>F181</f>
        <v>5400</v>
      </c>
      <c r="I181" s="3"/>
      <c r="J181" s="3"/>
      <c r="K181" s="3">
        <v>481</v>
      </c>
      <c r="L181" s="3">
        <f>K181</f>
        <v>481</v>
      </c>
      <c r="M181" s="259">
        <f>F181-L181-J181</f>
        <v>4919</v>
      </c>
      <c r="N181" s="10">
        <f>M181*12</f>
        <v>59028</v>
      </c>
      <c r="O181" s="260"/>
    </row>
    <row r="182" spans="1:15" s="21" customFormat="1" ht="18.75" customHeight="1" thickBot="1">
      <c r="B182" s="502"/>
      <c r="C182" s="234"/>
      <c r="D182" s="234"/>
      <c r="E182" s="503"/>
      <c r="F182" s="515">
        <f>F181</f>
        <v>5400</v>
      </c>
      <c r="G182" s="511">
        <f>SUM(G181)</f>
        <v>0</v>
      </c>
      <c r="H182" s="515">
        <f>H181</f>
        <v>5400</v>
      </c>
      <c r="I182" s="511"/>
      <c r="J182" s="516">
        <f>SUM(J181)</f>
        <v>0</v>
      </c>
      <c r="K182" s="511">
        <f>K181</f>
        <v>481</v>
      </c>
      <c r="L182" s="511">
        <f>L181</f>
        <v>481</v>
      </c>
      <c r="M182" s="508">
        <f>M181</f>
        <v>4919</v>
      </c>
      <c r="N182" s="508"/>
      <c r="O182" s="517"/>
    </row>
    <row r="183" spans="1:15" s="21" customFormat="1" ht="18.75" customHeight="1" thickTop="1">
      <c r="B183" s="30"/>
      <c r="C183"/>
      <c r="D183"/>
      <c r="E183" s="310"/>
      <c r="F183" s="246"/>
      <c r="G183" s="15"/>
      <c r="H183" s="246"/>
      <c r="I183" s="15"/>
      <c r="J183" s="389"/>
      <c r="K183" s="15"/>
      <c r="L183" s="15"/>
      <c r="M183" s="246"/>
      <c r="N183" s="246"/>
      <c r="O183" s="36"/>
    </row>
    <row r="184" spans="1:15" s="21" customFormat="1" ht="18.75" customHeight="1">
      <c r="B184" s="30"/>
      <c r="C184"/>
      <c r="D184"/>
      <c r="E184" s="310"/>
      <c r="F184" s="246"/>
      <c r="G184" s="15"/>
      <c r="H184" s="246"/>
      <c r="I184" s="15"/>
      <c r="J184" s="389"/>
      <c r="K184" s="15"/>
      <c r="L184" s="15"/>
      <c r="M184" s="246"/>
      <c r="N184" s="246"/>
      <c r="O184" s="36"/>
    </row>
    <row r="185" spans="1:15" ht="30" customHeight="1" thickBot="1">
      <c r="B185" s="649" t="s">
        <v>27</v>
      </c>
      <c r="C185" s="650"/>
      <c r="D185" s="511"/>
      <c r="E185" s="512"/>
      <c r="F185" s="513">
        <f>F9+F14+F18+F23+F33+F38+F46+F52+F62+F68+F73+F90+F95+F100+F113+F119+F137+F150+F155+F165+F171+F177+F182</f>
        <v>284740.45999999996</v>
      </c>
      <c r="G185" s="513">
        <f>G9+G14+G18+G23+G33+G38+G46+G52+G62+G68+G73+G90+G95+G100+G113+G119+G137+G150+G155+G165+G171</f>
        <v>0</v>
      </c>
      <c r="H185" s="513">
        <f>H9+H14+H18+H23+H33+H38+H46+H52+H62+H68+H73+H90+H95+H100+H113+H119+H137+H150+H155+H165+H171+H177+H182</f>
        <v>284740.45999999996</v>
      </c>
      <c r="I185" s="513">
        <f>I9+I14+I18+I23+I33+I38+I46+I52+I62+I68+I73+I90+I95+I100+I113+I119+I137+I150+I155+I165+I171+I177+I182</f>
        <v>24.04</v>
      </c>
      <c r="J185" s="513">
        <f>J182+J177+J171+J165+J155+J150+J137+J119+J113+J100+J95+J90+J73+J68+J62+J52+J46+J38+J33+J23+J18+J14+J9</f>
        <v>0</v>
      </c>
      <c r="K185" s="513">
        <f>K9+K14+K18+K23+K33+K38+K46+K52+K62+K68+K73+K90+K95+K100+K113+K119+K137+K150+K155+K165+K171+K177+K182</f>
        <v>29229.73</v>
      </c>
      <c r="L185" s="513">
        <f>L9+L14+L18+L23+L33+L38+L46+L52+L62+L68+L73+L90+L95+L100+L113+L119+L137+L150+L155+L165+L171+L177+L182</f>
        <v>29229.73</v>
      </c>
      <c r="M185" s="478">
        <f>M9+M14+M18+M23+M33+M38+M46+M52+M62+M68+M73+M90+M95+M100+M113+M119+M137+M150+M155+M165+M171+M177+M182</f>
        <v>255534.77000000002</v>
      </c>
      <c r="N185" s="617"/>
      <c r="O185" s="514"/>
    </row>
    <row r="186" spans="1:15" ht="12" thickTop="1">
      <c r="B186" s="24"/>
      <c r="E186" s="306"/>
      <c r="M186" s="209"/>
      <c r="O186" s="26"/>
    </row>
    <row r="187" spans="1:15">
      <c r="B187" s="24"/>
      <c r="E187" s="306"/>
      <c r="O187" s="26"/>
    </row>
    <row r="188" spans="1:15">
      <c r="A188" s="26"/>
      <c r="C188" s="38"/>
      <c r="E188" s="306"/>
      <c r="F188" s="38" t="s">
        <v>28</v>
      </c>
      <c r="G188" s="38" t="s">
        <v>28</v>
      </c>
      <c r="H188" s="38"/>
      <c r="K188" s="15" t="s">
        <v>28</v>
      </c>
      <c r="L188" s="38" t="s">
        <v>28</v>
      </c>
      <c r="M188" s="38" t="s">
        <v>28</v>
      </c>
      <c r="O188" s="26"/>
    </row>
    <row r="189" spans="1:15" ht="12.75">
      <c r="B189" s="636" t="s">
        <v>715</v>
      </c>
      <c r="C189" s="637"/>
      <c r="D189" s="43"/>
      <c r="E189" s="311"/>
      <c r="F189" s="651" t="s">
        <v>693</v>
      </c>
      <c r="G189" s="651"/>
      <c r="H189" s="651"/>
      <c r="I189" s="146"/>
      <c r="J189" s="146"/>
      <c r="K189" s="45"/>
      <c r="L189" s="648" t="s">
        <v>653</v>
      </c>
      <c r="M189" s="648"/>
      <c r="N189" s="43"/>
      <c r="O189" s="26"/>
    </row>
    <row r="190" spans="1:15">
      <c r="B190" s="638" t="s">
        <v>417</v>
      </c>
      <c r="C190" s="639"/>
      <c r="D190" s="46"/>
      <c r="E190" s="312"/>
      <c r="F190" s="639" t="s">
        <v>417</v>
      </c>
      <c r="G190" s="639"/>
      <c r="H190" s="639"/>
      <c r="I190" s="38"/>
      <c r="J190" s="46"/>
      <c r="K190" s="38"/>
      <c r="L190" s="639" t="s">
        <v>416</v>
      </c>
      <c r="M190" s="639"/>
      <c r="N190" s="46"/>
      <c r="O190" s="27"/>
    </row>
    <row r="194" spans="3:14">
      <c r="C194" s="289"/>
    </row>
    <row r="195" spans="3:14">
      <c r="F195" s="246">
        <f>SUM(F177+F171+F165+F155+F150+F137+F119+F100+F95+F113+F90+F73+F68+F62+F52+F46+F38+F33+F23+F18+F14+F9+F182)</f>
        <v>284740.45999999996</v>
      </c>
      <c r="K195" s="247">
        <f>H185+I185-L185</f>
        <v>255534.76999999993</v>
      </c>
      <c r="L195" s="247"/>
      <c r="M195" s="12">
        <f>F185+I185-L185</f>
        <v>255534.76999999993</v>
      </c>
      <c r="N195" s="12"/>
    </row>
    <row r="196" spans="3:14">
      <c r="F196" s="408">
        <f>F185-H185</f>
        <v>0</v>
      </c>
      <c r="K196" s="408">
        <f>M185-K195</f>
        <v>0</v>
      </c>
      <c r="M196" s="409">
        <f>M185-M195</f>
        <v>0</v>
      </c>
      <c r="N196" s="409"/>
    </row>
    <row r="197" spans="3:14">
      <c r="H197" s="246"/>
      <c r="M197" s="265">
        <f>SUM(M195:M196)</f>
        <v>255534.76999999993</v>
      </c>
      <c r="N197" s="265"/>
    </row>
    <row r="198" spans="3:14">
      <c r="M198" s="247"/>
      <c r="N198" s="247"/>
    </row>
    <row r="199" spans="3:14">
      <c r="M199" s="247"/>
      <c r="N199" s="247"/>
    </row>
  </sheetData>
  <mergeCells count="26">
    <mergeCell ref="B126:O126"/>
    <mergeCell ref="B143:O143"/>
    <mergeCell ref="L190:M190"/>
    <mergeCell ref="B180:C180"/>
    <mergeCell ref="L189:M189"/>
    <mergeCell ref="B158:O158"/>
    <mergeCell ref="B159:O159"/>
    <mergeCell ref="B185:C185"/>
    <mergeCell ref="F190:H190"/>
    <mergeCell ref="F189:H189"/>
    <mergeCell ref="C1:I1"/>
    <mergeCell ref="B189:C189"/>
    <mergeCell ref="B190:C190"/>
    <mergeCell ref="B2:O2"/>
    <mergeCell ref="B3:O3"/>
    <mergeCell ref="C25:I25"/>
    <mergeCell ref="B26:O26"/>
    <mergeCell ref="B27:O27"/>
    <mergeCell ref="B55:O55"/>
    <mergeCell ref="B56:O56"/>
    <mergeCell ref="B78:O78"/>
    <mergeCell ref="B79:O79"/>
    <mergeCell ref="B144:O144"/>
    <mergeCell ref="B103:O103"/>
    <mergeCell ref="B104:O104"/>
    <mergeCell ref="B125:O125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5"/>
  <sheetViews>
    <sheetView tabSelected="1" zoomScale="98" zoomScaleNormal="98" workbookViewId="0">
      <selection activeCell="F15" sqref="F15"/>
    </sheetView>
  </sheetViews>
  <sheetFormatPr baseColWidth="10" defaultRowHeight="11.25"/>
  <cols>
    <col min="1" max="1" width="8" style="102" customWidth="1"/>
    <col min="2" max="2" width="7.140625" style="102" customWidth="1"/>
    <col min="3" max="3" width="10.7109375" style="102" customWidth="1"/>
    <col min="4" max="4" width="9.85546875" style="102" customWidth="1"/>
    <col min="5" max="5" width="18.85546875" style="102" customWidth="1"/>
    <col min="6" max="6" width="11.28515625" style="102" bestFit="1" customWidth="1"/>
    <col min="7" max="7" width="9.140625" style="102" hidden="1" customWidth="1"/>
    <col min="8" max="8" width="5.140625" style="102" customWidth="1"/>
    <col min="9" max="9" width="13.42578125" style="102" customWidth="1"/>
    <col min="10" max="10" width="5.85546875" style="102" hidden="1" customWidth="1"/>
    <col min="11" max="11" width="13.28515625" style="102" customWidth="1"/>
    <col min="12" max="12" width="10.7109375" style="102" customWidth="1"/>
    <col min="13" max="13" width="11.5703125" style="102" customWidth="1"/>
    <col min="14" max="14" width="13" style="102" customWidth="1"/>
    <col min="15" max="15" width="12" style="102" customWidth="1"/>
    <col min="16" max="16" width="13.140625" style="102" customWidth="1"/>
    <col min="17" max="17" width="19.7109375" style="102" customWidth="1"/>
    <col min="18" max="18" width="29.5703125" style="102" customWidth="1"/>
    <col min="19" max="16384" width="11.42578125" style="102"/>
  </cols>
  <sheetData>
    <row r="1" spans="2:18"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1"/>
    </row>
    <row r="2" spans="2:18" ht="19.5">
      <c r="B2" s="658" t="s">
        <v>205</v>
      </c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60"/>
    </row>
    <row r="3" spans="2:18" ht="17.25">
      <c r="B3" s="661" t="s">
        <v>728</v>
      </c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3"/>
    </row>
    <row r="4" spans="2:18">
      <c r="B4" s="103"/>
      <c r="R4" s="104"/>
    </row>
    <row r="5" spans="2:18">
      <c r="B5" s="103"/>
      <c r="R5" s="104"/>
    </row>
    <row r="6" spans="2:18" ht="12.75">
      <c r="B6" s="105"/>
      <c r="C6" s="54" t="s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106"/>
    </row>
    <row r="7" spans="2:18" s="107" customFormat="1" ht="12" customHeight="1">
      <c r="B7" s="426" t="s">
        <v>150</v>
      </c>
      <c r="C7" s="427">
        <v>0</v>
      </c>
      <c r="D7" s="427"/>
      <c r="E7" s="427"/>
      <c r="F7" s="427"/>
      <c r="G7" s="428" t="s">
        <v>28</v>
      </c>
      <c r="H7" s="427"/>
      <c r="I7" s="653" t="s">
        <v>54</v>
      </c>
      <c r="J7" s="654"/>
      <c r="K7" s="655"/>
      <c r="L7" s="429"/>
      <c r="M7" s="429"/>
      <c r="N7" s="653" t="s">
        <v>55</v>
      </c>
      <c r="O7" s="656"/>
      <c r="P7" s="429"/>
      <c r="Q7" s="612"/>
      <c r="R7" s="664" t="s">
        <v>204</v>
      </c>
    </row>
    <row r="8" spans="2:18" s="107" customFormat="1" ht="12.75" customHeight="1">
      <c r="B8" s="430" t="s">
        <v>151</v>
      </c>
      <c r="C8" s="657" t="s">
        <v>46</v>
      </c>
      <c r="D8" s="657"/>
      <c r="E8" s="657"/>
      <c r="F8" s="431"/>
      <c r="G8" s="432"/>
      <c r="H8" s="433" t="s">
        <v>57</v>
      </c>
      <c r="I8" s="434" t="s">
        <v>3</v>
      </c>
      <c r="J8" s="435" t="s">
        <v>59</v>
      </c>
      <c r="K8" s="436" t="s">
        <v>152</v>
      </c>
      <c r="L8" s="435" t="s">
        <v>61</v>
      </c>
      <c r="M8" s="437" t="s">
        <v>554</v>
      </c>
      <c r="N8" s="438"/>
      <c r="O8" s="439" t="s">
        <v>152</v>
      </c>
      <c r="P8" s="440" t="s">
        <v>153</v>
      </c>
      <c r="Q8" s="609"/>
      <c r="R8" s="665"/>
    </row>
    <row r="9" spans="2:18" s="107" customFormat="1" ht="14.25">
      <c r="B9" s="441" t="s">
        <v>154</v>
      </c>
      <c r="C9" s="442" t="s">
        <v>47</v>
      </c>
      <c r="D9" s="443" t="s">
        <v>48</v>
      </c>
      <c r="E9" s="443" t="s">
        <v>49</v>
      </c>
      <c r="F9" s="443" t="s">
        <v>50</v>
      </c>
      <c r="G9" s="444"/>
      <c r="H9" s="443" t="s">
        <v>155</v>
      </c>
      <c r="I9" s="445" t="s">
        <v>156</v>
      </c>
      <c r="J9" s="446" t="s">
        <v>190</v>
      </c>
      <c r="K9" s="447" t="s">
        <v>158</v>
      </c>
      <c r="L9" s="446" t="s">
        <v>159</v>
      </c>
      <c r="M9" s="446"/>
      <c r="N9" s="443" t="s">
        <v>69</v>
      </c>
      <c r="O9" s="443" t="s">
        <v>160</v>
      </c>
      <c r="P9" s="448" t="s">
        <v>161</v>
      </c>
      <c r="Q9" s="448" t="s">
        <v>749</v>
      </c>
      <c r="R9" s="666"/>
    </row>
    <row r="10" spans="2:18">
      <c r="B10" s="108" t="s">
        <v>191</v>
      </c>
      <c r="R10" s="109"/>
    </row>
    <row r="11" spans="2:18" s="113" customFormat="1" ht="30" customHeight="1">
      <c r="B11" s="74">
        <v>1</v>
      </c>
      <c r="C11" s="74"/>
      <c r="D11" s="74"/>
      <c r="E11" s="74" t="s">
        <v>684</v>
      </c>
      <c r="F11" s="3" t="s">
        <v>685</v>
      </c>
      <c r="G11" s="313">
        <f>20530/2</f>
        <v>10265</v>
      </c>
      <c r="H11" s="78">
        <v>15</v>
      </c>
      <c r="I11" s="76">
        <v>10675</v>
      </c>
      <c r="J11" s="76"/>
      <c r="K11" s="76">
        <f>I11</f>
        <v>10675</v>
      </c>
      <c r="L11" s="76">
        <v>0</v>
      </c>
      <c r="M11" s="76"/>
      <c r="N11" s="76">
        <v>1560</v>
      </c>
      <c r="O11" s="76">
        <f>N11+M11</f>
        <v>1560</v>
      </c>
      <c r="P11" s="110">
        <f>K11-O11</f>
        <v>9115</v>
      </c>
      <c r="Q11" s="606">
        <f>P11*12</f>
        <v>109380</v>
      </c>
      <c r="R11" s="111"/>
    </row>
    <row r="12" spans="2:18" s="113" customFormat="1" ht="30" customHeight="1">
      <c r="B12" s="74">
        <f>B11+1</f>
        <v>2</v>
      </c>
      <c r="C12" s="74"/>
      <c r="D12" s="74"/>
      <c r="E12" s="125" t="s">
        <v>193</v>
      </c>
      <c r="F12" s="3" t="s">
        <v>194</v>
      </c>
      <c r="G12" s="313">
        <f>12736/2</f>
        <v>6368</v>
      </c>
      <c r="H12" s="78">
        <v>15</v>
      </c>
      <c r="I12" s="76">
        <v>6623</v>
      </c>
      <c r="J12" s="76"/>
      <c r="K12" s="76">
        <f t="shared" ref="K12:K37" si="0">(I12+J12)</f>
        <v>6623</v>
      </c>
      <c r="L12" s="76">
        <v>0</v>
      </c>
      <c r="M12" s="76"/>
      <c r="N12" s="76">
        <v>696</v>
      </c>
      <c r="O12" s="76">
        <f t="shared" ref="O12:O37" si="1">N12+M12</f>
        <v>696</v>
      </c>
      <c r="P12" s="110">
        <f t="shared" ref="P12:P36" si="2">K12-O12</f>
        <v>5927</v>
      </c>
      <c r="Q12" s="606">
        <f t="shared" ref="Q12:Q36" si="3">P12*12</f>
        <v>71124</v>
      </c>
      <c r="R12" s="111"/>
    </row>
    <row r="13" spans="2:18" s="113" customFormat="1" ht="30" customHeight="1">
      <c r="B13" s="74">
        <v>3</v>
      </c>
      <c r="C13" s="74"/>
      <c r="D13" s="74"/>
      <c r="E13" s="66" t="s">
        <v>195</v>
      </c>
      <c r="F13" s="3" t="s">
        <v>194</v>
      </c>
      <c r="G13" s="313">
        <f>12736/2</f>
        <v>6368</v>
      </c>
      <c r="H13" s="78">
        <v>15</v>
      </c>
      <c r="I13" s="76">
        <v>6623</v>
      </c>
      <c r="J13" s="76"/>
      <c r="K13" s="76">
        <f t="shared" si="0"/>
        <v>6623</v>
      </c>
      <c r="L13" s="76">
        <v>0</v>
      </c>
      <c r="M13" s="76"/>
      <c r="N13" s="76">
        <v>696</v>
      </c>
      <c r="O13" s="76">
        <f t="shared" si="1"/>
        <v>696</v>
      </c>
      <c r="P13" s="110">
        <f t="shared" si="2"/>
        <v>5927</v>
      </c>
      <c r="Q13" s="606">
        <f t="shared" si="3"/>
        <v>71124</v>
      </c>
      <c r="R13" s="111"/>
    </row>
    <row r="14" spans="2:18" s="113" customFormat="1" ht="30" customHeight="1">
      <c r="B14" s="74">
        <v>4</v>
      </c>
      <c r="C14" s="74"/>
      <c r="D14" s="74"/>
      <c r="E14" s="74" t="s">
        <v>697</v>
      </c>
      <c r="F14" s="3" t="s">
        <v>194</v>
      </c>
      <c r="G14" s="313"/>
      <c r="H14" s="78">
        <v>15</v>
      </c>
      <c r="I14" s="76">
        <v>6623</v>
      </c>
      <c r="J14" s="76"/>
      <c r="K14" s="76">
        <v>6623</v>
      </c>
      <c r="L14" s="76"/>
      <c r="M14" s="76"/>
      <c r="N14" s="76">
        <v>696</v>
      </c>
      <c r="O14" s="76">
        <f t="shared" si="1"/>
        <v>696</v>
      </c>
      <c r="P14" s="110">
        <f t="shared" si="2"/>
        <v>5927</v>
      </c>
      <c r="Q14" s="606">
        <f t="shared" si="3"/>
        <v>71124</v>
      </c>
      <c r="R14" s="111"/>
    </row>
    <row r="15" spans="2:18" s="113" customFormat="1" ht="30" customHeight="1">
      <c r="B15" s="74">
        <v>5</v>
      </c>
      <c r="C15" s="74"/>
      <c r="D15" s="74"/>
      <c r="E15" s="66" t="s">
        <v>196</v>
      </c>
      <c r="F15" s="3" t="s">
        <v>197</v>
      </c>
      <c r="G15" s="313">
        <f t="shared" ref="G15:G22" si="4">9242/2</f>
        <v>4621</v>
      </c>
      <c r="H15" s="78">
        <v>15</v>
      </c>
      <c r="I15" s="76">
        <v>4806</v>
      </c>
      <c r="J15" s="76"/>
      <c r="K15" s="76">
        <f>(I15+J15)</f>
        <v>4806</v>
      </c>
      <c r="L15" s="76">
        <v>0</v>
      </c>
      <c r="M15" s="76"/>
      <c r="N15" s="76">
        <v>386</v>
      </c>
      <c r="O15" s="76">
        <f t="shared" si="1"/>
        <v>386</v>
      </c>
      <c r="P15" s="110">
        <f t="shared" si="2"/>
        <v>4420</v>
      </c>
      <c r="Q15" s="606">
        <f t="shared" si="3"/>
        <v>53040</v>
      </c>
      <c r="R15" s="111"/>
    </row>
    <row r="16" spans="2:18" s="113" customFormat="1" ht="30" customHeight="1">
      <c r="B16" s="74">
        <v>6</v>
      </c>
      <c r="C16" s="74"/>
      <c r="D16" s="74"/>
      <c r="E16" s="66" t="s">
        <v>199</v>
      </c>
      <c r="F16" s="3" t="s">
        <v>197</v>
      </c>
      <c r="G16" s="313">
        <f t="shared" si="4"/>
        <v>4621</v>
      </c>
      <c r="H16" s="78">
        <v>15</v>
      </c>
      <c r="I16" s="76">
        <v>4806</v>
      </c>
      <c r="J16" s="76"/>
      <c r="K16" s="76">
        <f t="shared" si="0"/>
        <v>4806</v>
      </c>
      <c r="L16" s="76">
        <v>0</v>
      </c>
      <c r="M16" s="76"/>
      <c r="N16" s="76">
        <v>386</v>
      </c>
      <c r="O16" s="76">
        <f t="shared" si="1"/>
        <v>386</v>
      </c>
      <c r="P16" s="110">
        <f t="shared" si="2"/>
        <v>4420</v>
      </c>
      <c r="Q16" s="606">
        <f t="shared" si="3"/>
        <v>53040</v>
      </c>
      <c r="R16" s="111"/>
    </row>
    <row r="17" spans="1:18" s="113" customFormat="1" ht="30" customHeight="1">
      <c r="B17" s="74">
        <f t="shared" ref="B17:B36" si="5">B16+1</f>
        <v>7</v>
      </c>
      <c r="C17" s="66"/>
      <c r="D17" s="66"/>
      <c r="E17" s="125" t="s">
        <v>200</v>
      </c>
      <c r="F17" s="114" t="s">
        <v>197</v>
      </c>
      <c r="G17" s="314">
        <f t="shared" si="4"/>
        <v>4621</v>
      </c>
      <c r="H17" s="115">
        <v>15</v>
      </c>
      <c r="I17" s="76">
        <v>4806</v>
      </c>
      <c r="J17" s="68"/>
      <c r="K17" s="76">
        <f t="shared" si="0"/>
        <v>4806</v>
      </c>
      <c r="L17" s="76">
        <v>0</v>
      </c>
      <c r="M17" s="76"/>
      <c r="N17" s="76">
        <v>386</v>
      </c>
      <c r="O17" s="76">
        <f t="shared" si="1"/>
        <v>386</v>
      </c>
      <c r="P17" s="110">
        <f t="shared" si="2"/>
        <v>4420</v>
      </c>
      <c r="Q17" s="606">
        <f t="shared" si="3"/>
        <v>53040</v>
      </c>
      <c r="R17" s="116"/>
    </row>
    <row r="18" spans="1:18" s="113" customFormat="1" ht="30" customHeight="1">
      <c r="B18" s="74">
        <f t="shared" si="5"/>
        <v>8</v>
      </c>
      <c r="C18" s="74"/>
      <c r="D18" s="74"/>
      <c r="E18" s="66" t="s">
        <v>82</v>
      </c>
      <c r="F18" s="3" t="s">
        <v>197</v>
      </c>
      <c r="G18" s="313">
        <f t="shared" si="4"/>
        <v>4621</v>
      </c>
      <c r="H18" s="78">
        <v>15</v>
      </c>
      <c r="I18" s="76">
        <v>4806</v>
      </c>
      <c r="J18" s="76"/>
      <c r="K18" s="76">
        <f t="shared" si="0"/>
        <v>4806</v>
      </c>
      <c r="L18" s="76">
        <v>0</v>
      </c>
      <c r="M18" s="76"/>
      <c r="N18" s="76">
        <v>386</v>
      </c>
      <c r="O18" s="76">
        <f t="shared" si="1"/>
        <v>386</v>
      </c>
      <c r="P18" s="110">
        <f t="shared" si="2"/>
        <v>4420</v>
      </c>
      <c r="Q18" s="606">
        <f t="shared" si="3"/>
        <v>53040</v>
      </c>
      <c r="R18" s="111"/>
    </row>
    <row r="19" spans="1:18" s="113" customFormat="1" ht="30" customHeight="1">
      <c r="B19" s="74">
        <f t="shared" si="5"/>
        <v>9</v>
      </c>
      <c r="C19" s="74"/>
      <c r="D19" s="74"/>
      <c r="E19" s="66" t="s">
        <v>537</v>
      </c>
      <c r="F19" s="3" t="s">
        <v>197</v>
      </c>
      <c r="G19" s="313">
        <f t="shared" si="4"/>
        <v>4621</v>
      </c>
      <c r="H19" s="78">
        <v>15</v>
      </c>
      <c r="I19" s="76">
        <v>4806</v>
      </c>
      <c r="J19" s="76"/>
      <c r="K19" s="76">
        <f t="shared" si="0"/>
        <v>4806</v>
      </c>
      <c r="L19" s="76">
        <v>0</v>
      </c>
      <c r="M19" s="76"/>
      <c r="N19" s="76">
        <v>386</v>
      </c>
      <c r="O19" s="76">
        <f t="shared" si="1"/>
        <v>386</v>
      </c>
      <c r="P19" s="110">
        <f t="shared" si="2"/>
        <v>4420</v>
      </c>
      <c r="Q19" s="606">
        <f t="shared" si="3"/>
        <v>53040</v>
      </c>
      <c r="R19" s="111"/>
    </row>
    <row r="20" spans="1:18" s="113" customFormat="1" ht="30" customHeight="1">
      <c r="B20" s="74">
        <f t="shared" si="5"/>
        <v>10</v>
      </c>
      <c r="C20" s="74"/>
      <c r="D20" s="74"/>
      <c r="E20" s="66" t="s">
        <v>201</v>
      </c>
      <c r="F20" s="3" t="s">
        <v>197</v>
      </c>
      <c r="G20" s="313">
        <f t="shared" si="4"/>
        <v>4621</v>
      </c>
      <c r="H20" s="78">
        <v>15</v>
      </c>
      <c r="I20" s="76">
        <v>4806</v>
      </c>
      <c r="J20" s="117"/>
      <c r="K20" s="76">
        <f t="shared" si="0"/>
        <v>4806</v>
      </c>
      <c r="L20" s="76">
        <v>0</v>
      </c>
      <c r="M20" s="76"/>
      <c r="N20" s="76">
        <v>386</v>
      </c>
      <c r="O20" s="76">
        <f t="shared" si="1"/>
        <v>386</v>
      </c>
      <c r="P20" s="110">
        <f t="shared" si="2"/>
        <v>4420</v>
      </c>
      <c r="Q20" s="606">
        <f t="shared" si="3"/>
        <v>53040</v>
      </c>
      <c r="R20" s="111"/>
    </row>
    <row r="21" spans="1:18" s="113" customFormat="1" ht="30" customHeight="1">
      <c r="B21" s="74">
        <f t="shared" si="5"/>
        <v>11</v>
      </c>
      <c r="C21" s="74"/>
      <c r="D21" s="74"/>
      <c r="E21" s="66" t="s">
        <v>202</v>
      </c>
      <c r="F21" s="3" t="s">
        <v>197</v>
      </c>
      <c r="G21" s="313">
        <f t="shared" si="4"/>
        <v>4621</v>
      </c>
      <c r="H21" s="78">
        <v>15</v>
      </c>
      <c r="I21" s="76">
        <v>4806</v>
      </c>
      <c r="J21" s="76"/>
      <c r="K21" s="76">
        <v>4806</v>
      </c>
      <c r="L21" s="76">
        <v>0</v>
      </c>
      <c r="M21" s="76"/>
      <c r="N21" s="76">
        <v>386</v>
      </c>
      <c r="O21" s="76">
        <f t="shared" si="1"/>
        <v>386</v>
      </c>
      <c r="P21" s="110">
        <f t="shared" si="2"/>
        <v>4420</v>
      </c>
      <c r="Q21" s="606">
        <f t="shared" si="3"/>
        <v>53040</v>
      </c>
      <c r="R21" s="111"/>
    </row>
    <row r="22" spans="1:18" s="113" customFormat="1" ht="30" customHeight="1">
      <c r="B22" s="74">
        <v>12</v>
      </c>
      <c r="C22" s="74"/>
      <c r="D22" s="74"/>
      <c r="E22" s="125" t="s">
        <v>268</v>
      </c>
      <c r="F22" s="3" t="s">
        <v>197</v>
      </c>
      <c r="G22" s="313">
        <f t="shared" si="4"/>
        <v>4621</v>
      </c>
      <c r="H22" s="78">
        <v>15</v>
      </c>
      <c r="I22" s="76">
        <v>4806</v>
      </c>
      <c r="J22" s="76"/>
      <c r="K22" s="76">
        <f t="shared" si="0"/>
        <v>4806</v>
      </c>
      <c r="L22" s="76">
        <v>0</v>
      </c>
      <c r="M22" s="76"/>
      <c r="N22" s="76">
        <v>386</v>
      </c>
      <c r="O22" s="76">
        <f t="shared" si="1"/>
        <v>386</v>
      </c>
      <c r="P22" s="110">
        <f t="shared" si="2"/>
        <v>4420</v>
      </c>
      <c r="Q22" s="606">
        <f t="shared" si="3"/>
        <v>53040</v>
      </c>
      <c r="R22" s="111"/>
    </row>
    <row r="23" spans="1:18" s="113" customFormat="1" ht="30" customHeight="1">
      <c r="B23" s="74">
        <f t="shared" si="5"/>
        <v>13</v>
      </c>
      <c r="C23" s="74"/>
      <c r="D23" s="74"/>
      <c r="E23" s="386" t="s">
        <v>605</v>
      </c>
      <c r="F23" s="3" t="s">
        <v>197</v>
      </c>
      <c r="G23" s="313">
        <f>9242/2</f>
        <v>4621</v>
      </c>
      <c r="H23" s="78">
        <v>15</v>
      </c>
      <c r="I23" s="76">
        <v>4806</v>
      </c>
      <c r="J23" s="76"/>
      <c r="K23" s="76">
        <f t="shared" si="0"/>
        <v>4806</v>
      </c>
      <c r="L23" s="76">
        <v>0</v>
      </c>
      <c r="M23" s="76"/>
      <c r="N23" s="76">
        <v>386</v>
      </c>
      <c r="O23" s="76">
        <f t="shared" si="1"/>
        <v>386</v>
      </c>
      <c r="P23" s="110">
        <f t="shared" si="2"/>
        <v>4420</v>
      </c>
      <c r="Q23" s="606">
        <f t="shared" si="3"/>
        <v>53040</v>
      </c>
      <c r="R23" s="111"/>
    </row>
    <row r="24" spans="1:18" s="113" customFormat="1" ht="30" customHeight="1">
      <c r="B24" s="74">
        <f t="shared" si="5"/>
        <v>14</v>
      </c>
      <c r="C24" s="74"/>
      <c r="D24" s="74"/>
      <c r="E24" s="386" t="s">
        <v>601</v>
      </c>
      <c r="F24" s="3" t="s">
        <v>197</v>
      </c>
      <c r="G24" s="313">
        <v>4621</v>
      </c>
      <c r="H24" s="78">
        <v>15</v>
      </c>
      <c r="I24" s="76">
        <v>4806</v>
      </c>
      <c r="J24" s="76"/>
      <c r="K24" s="76">
        <f t="shared" si="0"/>
        <v>4806</v>
      </c>
      <c r="L24" s="76">
        <v>0</v>
      </c>
      <c r="M24" s="76"/>
      <c r="N24" s="76">
        <v>386</v>
      </c>
      <c r="O24" s="76">
        <f t="shared" si="1"/>
        <v>386</v>
      </c>
      <c r="P24" s="110">
        <f t="shared" si="2"/>
        <v>4420</v>
      </c>
      <c r="Q24" s="606">
        <f t="shared" si="3"/>
        <v>53040</v>
      </c>
      <c r="R24" s="111"/>
    </row>
    <row r="25" spans="1:18" s="113" customFormat="1" ht="30" customHeight="1">
      <c r="B25" s="74">
        <f t="shared" si="5"/>
        <v>15</v>
      </c>
      <c r="C25" s="74"/>
      <c r="D25" s="74"/>
      <c r="E25" s="74" t="s">
        <v>272</v>
      </c>
      <c r="F25" s="3" t="s">
        <v>197</v>
      </c>
      <c r="G25" s="313">
        <f>9242/2</f>
        <v>4621</v>
      </c>
      <c r="H25" s="78">
        <v>15</v>
      </c>
      <c r="I25" s="76">
        <v>4806</v>
      </c>
      <c r="J25" s="76"/>
      <c r="K25" s="76">
        <f t="shared" si="0"/>
        <v>4806</v>
      </c>
      <c r="L25" s="76">
        <v>0</v>
      </c>
      <c r="M25" s="76"/>
      <c r="N25" s="76">
        <v>386</v>
      </c>
      <c r="O25" s="76">
        <f t="shared" si="1"/>
        <v>386</v>
      </c>
      <c r="P25" s="110">
        <f t="shared" si="2"/>
        <v>4420</v>
      </c>
      <c r="Q25" s="606">
        <f t="shared" si="3"/>
        <v>53040</v>
      </c>
      <c r="R25" s="111"/>
    </row>
    <row r="26" spans="1:18" s="113" customFormat="1" ht="30" customHeight="1">
      <c r="B26" s="74">
        <f t="shared" si="5"/>
        <v>16</v>
      </c>
      <c r="C26" s="74"/>
      <c r="D26" s="74"/>
      <c r="E26" s="74" t="s">
        <v>586</v>
      </c>
      <c r="F26" s="3" t="s">
        <v>197</v>
      </c>
      <c r="G26" s="313">
        <f>9242/2</f>
        <v>4621</v>
      </c>
      <c r="H26" s="78">
        <v>15</v>
      </c>
      <c r="I26" s="76">
        <v>4806</v>
      </c>
      <c r="J26" s="76"/>
      <c r="K26" s="76">
        <f t="shared" si="0"/>
        <v>4806</v>
      </c>
      <c r="L26" s="76">
        <v>0</v>
      </c>
      <c r="M26" s="76"/>
      <c r="N26" s="76">
        <v>386</v>
      </c>
      <c r="O26" s="76">
        <f t="shared" si="1"/>
        <v>386</v>
      </c>
      <c r="P26" s="110">
        <f t="shared" si="2"/>
        <v>4420</v>
      </c>
      <c r="Q26" s="606">
        <f t="shared" si="3"/>
        <v>53040</v>
      </c>
      <c r="R26" s="111"/>
    </row>
    <row r="27" spans="1:18" s="113" customFormat="1" ht="30" customHeight="1">
      <c r="B27" s="74">
        <f t="shared" si="5"/>
        <v>17</v>
      </c>
      <c r="C27" s="74"/>
      <c r="D27" s="74"/>
      <c r="E27" s="74" t="s">
        <v>614</v>
      </c>
      <c r="F27" s="3" t="s">
        <v>197</v>
      </c>
      <c r="G27" s="313"/>
      <c r="H27" s="78">
        <v>15</v>
      </c>
      <c r="I27" s="76">
        <v>4806</v>
      </c>
      <c r="J27" s="76"/>
      <c r="K27" s="76">
        <f t="shared" si="0"/>
        <v>4806</v>
      </c>
      <c r="L27" s="76">
        <v>0</v>
      </c>
      <c r="M27" s="76"/>
      <c r="N27" s="76">
        <v>386</v>
      </c>
      <c r="O27" s="76">
        <f t="shared" si="1"/>
        <v>386</v>
      </c>
      <c r="P27" s="110">
        <f t="shared" si="2"/>
        <v>4420</v>
      </c>
      <c r="Q27" s="606">
        <f t="shared" si="3"/>
        <v>53040</v>
      </c>
      <c r="R27" s="111"/>
    </row>
    <row r="28" spans="1:18" s="113" customFormat="1" ht="30" customHeight="1">
      <c r="B28" s="74">
        <f t="shared" si="5"/>
        <v>18</v>
      </c>
      <c r="C28" s="74"/>
      <c r="D28" s="74"/>
      <c r="E28" s="74" t="s">
        <v>624</v>
      </c>
      <c r="F28" s="3" t="s">
        <v>197</v>
      </c>
      <c r="G28" s="313"/>
      <c r="H28" s="78">
        <v>15</v>
      </c>
      <c r="I28" s="76">
        <v>4806</v>
      </c>
      <c r="J28" s="76"/>
      <c r="K28" s="76">
        <f t="shared" si="0"/>
        <v>4806</v>
      </c>
      <c r="L28" s="76">
        <v>0</v>
      </c>
      <c r="M28" s="76"/>
      <c r="N28" s="76">
        <v>386</v>
      </c>
      <c r="O28" s="76">
        <f t="shared" si="1"/>
        <v>386</v>
      </c>
      <c r="P28" s="110">
        <f t="shared" si="2"/>
        <v>4420</v>
      </c>
      <c r="Q28" s="606">
        <f t="shared" si="3"/>
        <v>53040</v>
      </c>
      <c r="R28" s="111"/>
    </row>
    <row r="29" spans="1:18" s="113" customFormat="1" ht="30" customHeight="1">
      <c r="B29" s="74">
        <f t="shared" si="5"/>
        <v>19</v>
      </c>
      <c r="C29" s="74"/>
      <c r="D29" s="74"/>
      <c r="E29" s="74" t="s">
        <v>640</v>
      </c>
      <c r="F29" s="3" t="s">
        <v>197</v>
      </c>
      <c r="G29" s="313"/>
      <c r="H29" s="78">
        <v>15</v>
      </c>
      <c r="I29" s="76">
        <v>4806</v>
      </c>
      <c r="J29" s="76"/>
      <c r="K29" s="76">
        <f t="shared" si="0"/>
        <v>4806</v>
      </c>
      <c r="L29" s="76">
        <v>0</v>
      </c>
      <c r="M29" s="76"/>
      <c r="N29" s="76">
        <v>386</v>
      </c>
      <c r="O29" s="76">
        <f t="shared" si="1"/>
        <v>386</v>
      </c>
      <c r="P29" s="110">
        <f t="shared" si="2"/>
        <v>4420</v>
      </c>
      <c r="Q29" s="606">
        <f t="shared" si="3"/>
        <v>53040</v>
      </c>
      <c r="R29" s="111"/>
    </row>
    <row r="30" spans="1:18" s="113" customFormat="1" ht="30" customHeight="1">
      <c r="A30" s="399" t="s">
        <v>652</v>
      </c>
      <c r="B30" s="74">
        <f t="shared" si="5"/>
        <v>20</v>
      </c>
      <c r="C30" s="74"/>
      <c r="D30" s="74"/>
      <c r="E30" s="74" t="s">
        <v>663</v>
      </c>
      <c r="F30" s="3" t="s">
        <v>197</v>
      </c>
      <c r="G30" s="313"/>
      <c r="H30" s="78">
        <v>15</v>
      </c>
      <c r="I30" s="76">
        <v>4806</v>
      </c>
      <c r="J30" s="76"/>
      <c r="K30" s="76">
        <f t="shared" si="0"/>
        <v>4806</v>
      </c>
      <c r="L30" s="76">
        <v>0</v>
      </c>
      <c r="M30" s="76"/>
      <c r="N30" s="76">
        <v>386</v>
      </c>
      <c r="O30" s="76">
        <f t="shared" si="1"/>
        <v>386</v>
      </c>
      <c r="P30" s="110">
        <f t="shared" si="2"/>
        <v>4420</v>
      </c>
      <c r="Q30" s="606">
        <f t="shared" si="3"/>
        <v>53040</v>
      </c>
      <c r="R30" s="111"/>
    </row>
    <row r="31" spans="1:18" s="113" customFormat="1" ht="30" customHeight="1">
      <c r="A31" s="399" t="s">
        <v>652</v>
      </c>
      <c r="B31" s="74">
        <f t="shared" si="5"/>
        <v>21</v>
      </c>
      <c r="C31" s="210"/>
      <c r="D31" s="210"/>
      <c r="E31" s="210" t="s">
        <v>649</v>
      </c>
      <c r="F31" s="118" t="s">
        <v>197</v>
      </c>
      <c r="G31" s="315"/>
      <c r="H31" s="119">
        <v>15</v>
      </c>
      <c r="I31" s="117">
        <v>4806</v>
      </c>
      <c r="J31" s="117"/>
      <c r="K31" s="76">
        <f t="shared" si="0"/>
        <v>4806</v>
      </c>
      <c r="L31" s="76">
        <v>0</v>
      </c>
      <c r="M31" s="76"/>
      <c r="N31" s="76">
        <v>386</v>
      </c>
      <c r="O31" s="76">
        <f t="shared" si="1"/>
        <v>386</v>
      </c>
      <c r="P31" s="110">
        <f t="shared" si="2"/>
        <v>4420</v>
      </c>
      <c r="Q31" s="606">
        <f t="shared" si="3"/>
        <v>53040</v>
      </c>
      <c r="R31" s="111"/>
    </row>
    <row r="32" spans="1:18" s="113" customFormat="1" ht="30" customHeight="1">
      <c r="A32" s="399" t="s">
        <v>652</v>
      </c>
      <c r="B32" s="74">
        <f t="shared" si="5"/>
        <v>22</v>
      </c>
      <c r="C32" s="210"/>
      <c r="D32" s="210"/>
      <c r="E32" s="210" t="s">
        <v>650</v>
      </c>
      <c r="F32" s="118" t="s">
        <v>197</v>
      </c>
      <c r="G32" s="315"/>
      <c r="H32" s="119">
        <v>15</v>
      </c>
      <c r="I32" s="117">
        <v>4806</v>
      </c>
      <c r="J32" s="117"/>
      <c r="K32" s="76">
        <f t="shared" si="0"/>
        <v>4806</v>
      </c>
      <c r="L32" s="76">
        <v>0</v>
      </c>
      <c r="M32" s="76"/>
      <c r="N32" s="76">
        <v>386</v>
      </c>
      <c r="O32" s="76">
        <f t="shared" si="1"/>
        <v>386</v>
      </c>
      <c r="P32" s="110">
        <f t="shared" si="2"/>
        <v>4420</v>
      </c>
      <c r="Q32" s="606">
        <f t="shared" si="3"/>
        <v>53040</v>
      </c>
      <c r="R32" s="111"/>
    </row>
    <row r="33" spans="1:18" s="113" customFormat="1" ht="30" customHeight="1">
      <c r="A33" s="399" t="s">
        <v>652</v>
      </c>
      <c r="B33" s="74">
        <f t="shared" si="5"/>
        <v>23</v>
      </c>
      <c r="C33" s="210"/>
      <c r="D33" s="210"/>
      <c r="E33" s="210" t="s">
        <v>651</v>
      </c>
      <c r="F33" s="118" t="s">
        <v>197</v>
      </c>
      <c r="G33" s="315"/>
      <c r="H33" s="119">
        <v>15</v>
      </c>
      <c r="I33" s="117">
        <v>4806</v>
      </c>
      <c r="J33" s="117"/>
      <c r="K33" s="76">
        <f t="shared" si="0"/>
        <v>4806</v>
      </c>
      <c r="L33" s="76">
        <v>0</v>
      </c>
      <c r="M33" s="76"/>
      <c r="N33" s="76">
        <v>386</v>
      </c>
      <c r="O33" s="76">
        <f t="shared" si="1"/>
        <v>386</v>
      </c>
      <c r="P33" s="110">
        <f t="shared" si="2"/>
        <v>4420</v>
      </c>
      <c r="Q33" s="606">
        <f t="shared" si="3"/>
        <v>53040</v>
      </c>
      <c r="R33" s="111"/>
    </row>
    <row r="34" spans="1:18" s="113" customFormat="1" ht="30" customHeight="1">
      <c r="A34" s="540"/>
      <c r="B34" s="74">
        <f t="shared" si="5"/>
        <v>24</v>
      </c>
      <c r="C34" s="210"/>
      <c r="D34" s="210"/>
      <c r="E34" s="210" t="s">
        <v>674</v>
      </c>
      <c r="F34" s="118" t="s">
        <v>197</v>
      </c>
      <c r="G34" s="315"/>
      <c r="H34" s="119">
        <v>15</v>
      </c>
      <c r="I34" s="117">
        <v>4806</v>
      </c>
      <c r="J34" s="117"/>
      <c r="K34" s="76">
        <f t="shared" si="0"/>
        <v>4806</v>
      </c>
      <c r="L34" s="76"/>
      <c r="M34" s="76"/>
      <c r="N34" s="76">
        <v>386</v>
      </c>
      <c r="O34" s="76">
        <f t="shared" si="1"/>
        <v>386</v>
      </c>
      <c r="P34" s="110">
        <f t="shared" si="2"/>
        <v>4420</v>
      </c>
      <c r="Q34" s="606">
        <f t="shared" si="3"/>
        <v>53040</v>
      </c>
      <c r="R34" s="111"/>
    </row>
    <row r="35" spans="1:18" s="113" customFormat="1" ht="30" customHeight="1">
      <c r="A35" s="540"/>
      <c r="B35" s="74">
        <f t="shared" si="5"/>
        <v>25</v>
      </c>
      <c r="C35" s="210"/>
      <c r="D35" s="210"/>
      <c r="E35" s="210" t="s">
        <v>675</v>
      </c>
      <c r="F35" s="118" t="s">
        <v>197</v>
      </c>
      <c r="G35" s="315"/>
      <c r="H35" s="119">
        <v>15</v>
      </c>
      <c r="I35" s="117">
        <v>4806</v>
      </c>
      <c r="J35" s="117"/>
      <c r="K35" s="76">
        <f t="shared" si="0"/>
        <v>4806</v>
      </c>
      <c r="L35" s="76"/>
      <c r="M35" s="76"/>
      <c r="N35" s="76">
        <v>386</v>
      </c>
      <c r="O35" s="76">
        <f t="shared" si="1"/>
        <v>386</v>
      </c>
      <c r="P35" s="110">
        <f t="shared" si="2"/>
        <v>4420</v>
      </c>
      <c r="Q35" s="606">
        <f t="shared" si="3"/>
        <v>53040</v>
      </c>
      <c r="R35" s="111"/>
    </row>
    <row r="36" spans="1:18" s="113" customFormat="1" ht="30" customHeight="1">
      <c r="A36" s="540"/>
      <c r="B36" s="74">
        <f t="shared" si="5"/>
        <v>26</v>
      </c>
      <c r="C36" s="210"/>
      <c r="D36" s="210"/>
      <c r="E36" s="210" t="s">
        <v>676</v>
      </c>
      <c r="F36" s="118" t="s">
        <v>197</v>
      </c>
      <c r="G36" s="315"/>
      <c r="H36" s="119">
        <v>15</v>
      </c>
      <c r="I36" s="117">
        <v>4806</v>
      </c>
      <c r="J36" s="117"/>
      <c r="K36" s="76">
        <f t="shared" si="0"/>
        <v>4806</v>
      </c>
      <c r="L36" s="76"/>
      <c r="M36" s="76"/>
      <c r="N36" s="76">
        <v>386</v>
      </c>
      <c r="O36" s="76">
        <f t="shared" si="1"/>
        <v>386</v>
      </c>
      <c r="P36" s="110">
        <f t="shared" si="2"/>
        <v>4420</v>
      </c>
      <c r="Q36" s="606">
        <f t="shared" si="3"/>
        <v>53040</v>
      </c>
      <c r="R36" s="111"/>
    </row>
    <row r="37" spans="1:18" s="113" customFormat="1" ht="30" customHeight="1">
      <c r="B37" s="74">
        <f>B36+1</f>
        <v>27</v>
      </c>
      <c r="C37" s="74"/>
      <c r="D37" s="74"/>
      <c r="E37" s="74" t="s">
        <v>212</v>
      </c>
      <c r="F37" s="3" t="s">
        <v>213</v>
      </c>
      <c r="G37" s="316">
        <f>4592/2</f>
        <v>2296</v>
      </c>
      <c r="H37" s="78">
        <v>15</v>
      </c>
      <c r="I37" s="76">
        <v>2388</v>
      </c>
      <c r="J37" s="76"/>
      <c r="K37" s="76">
        <f t="shared" si="0"/>
        <v>2388</v>
      </c>
      <c r="L37" s="76">
        <v>24.04</v>
      </c>
      <c r="M37" s="76"/>
      <c r="N37" s="76"/>
      <c r="O37" s="76">
        <f t="shared" si="1"/>
        <v>0</v>
      </c>
      <c r="P37" s="110">
        <f t="shared" ref="P37" si="6">K37+L37-O37</f>
        <v>2412.04</v>
      </c>
      <c r="Q37" s="606">
        <f>P37*12</f>
        <v>28944.48</v>
      </c>
      <c r="R37" s="292"/>
    </row>
    <row r="38" spans="1:18" s="113" customFormat="1" ht="30" customHeight="1" thickBot="1">
      <c r="B38" s="15"/>
      <c r="C38" s="529" t="s">
        <v>44</v>
      </c>
      <c r="D38" s="529"/>
      <c r="E38" s="529"/>
      <c r="F38" s="529"/>
      <c r="G38" s="529"/>
      <c r="H38" s="529"/>
      <c r="I38" s="530">
        <f t="shared" ref="I38:P38" si="7">SUM(I11:I37)</f>
        <v>138664</v>
      </c>
      <c r="J38" s="530">
        <f t="shared" si="7"/>
        <v>0</v>
      </c>
      <c r="K38" s="530">
        <f t="shared" si="7"/>
        <v>138664</v>
      </c>
      <c r="L38" s="530">
        <f t="shared" si="7"/>
        <v>24.04</v>
      </c>
      <c r="M38" s="530">
        <f t="shared" si="7"/>
        <v>0</v>
      </c>
      <c r="N38" s="530">
        <f t="shared" si="7"/>
        <v>12140</v>
      </c>
      <c r="O38" s="530">
        <f t="shared" si="7"/>
        <v>12140</v>
      </c>
      <c r="P38" s="481">
        <f t="shared" si="7"/>
        <v>126548.04</v>
      </c>
      <c r="Q38" s="613">
        <f>SUM(Q11:Q37)</f>
        <v>1518576.48</v>
      </c>
    </row>
    <row r="39" spans="1:18" ht="12" thickTop="1"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1"/>
      <c r="Q39" s="121"/>
      <c r="R39" s="113"/>
    </row>
    <row r="40" spans="1:18"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1"/>
      <c r="Q40" s="121"/>
      <c r="R40" s="113"/>
    </row>
    <row r="41" spans="1:18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1"/>
      <c r="Q41" s="121"/>
      <c r="R41" s="113"/>
    </row>
    <row r="42" spans="1:18"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1"/>
      <c r="Q42" s="121"/>
      <c r="R42" s="113"/>
    </row>
    <row r="43" spans="1:18">
      <c r="B43" s="120"/>
      <c r="C43" s="120"/>
      <c r="D43" s="120"/>
      <c r="E43" s="120"/>
      <c r="F43" s="120"/>
      <c r="G43" s="120" t="s">
        <v>28</v>
      </c>
      <c r="H43" s="120"/>
      <c r="I43" s="120"/>
      <c r="J43" s="120"/>
      <c r="K43" s="120"/>
      <c r="L43" s="120"/>
      <c r="M43" s="120"/>
      <c r="N43" s="122"/>
      <c r="O43" s="120"/>
      <c r="P43" s="123"/>
      <c r="Q43" s="123"/>
    </row>
    <row r="44" spans="1:18">
      <c r="G44" s="55"/>
      <c r="H44" s="55"/>
      <c r="I44" s="55"/>
      <c r="J44" s="55"/>
      <c r="K44" s="55"/>
      <c r="L44" s="55"/>
      <c r="M44" s="55"/>
    </row>
    <row r="45" spans="1:18" ht="13.5" customHeight="1">
      <c r="B45" s="631" t="s">
        <v>715</v>
      </c>
      <c r="C45" s="631"/>
      <c r="D45" s="631"/>
      <c r="E45" s="631"/>
      <c r="F45" s="6"/>
      <c r="G45" s="633" t="s">
        <v>693</v>
      </c>
      <c r="H45" s="633"/>
      <c r="I45" s="633"/>
      <c r="J45" s="633"/>
      <c r="K45" s="633"/>
      <c r="L45" s="633"/>
      <c r="M45" s="633"/>
      <c r="N45" s="6"/>
      <c r="O45" s="652" t="s">
        <v>653</v>
      </c>
      <c r="P45" s="652"/>
      <c r="Q45" s="652"/>
      <c r="R45" s="652"/>
    </row>
    <row r="46" spans="1:18" ht="12.75">
      <c r="B46" s="632" t="s">
        <v>144</v>
      </c>
      <c r="C46" s="632"/>
      <c r="D46" s="632"/>
      <c r="E46" s="632"/>
      <c r="F46" s="6"/>
      <c r="G46" s="6"/>
      <c r="H46" s="632" t="s">
        <v>694</v>
      </c>
      <c r="I46" s="632"/>
      <c r="J46" s="632"/>
      <c r="K46" s="632"/>
      <c r="L46" s="632"/>
      <c r="M46" s="632"/>
      <c r="N46" s="6"/>
      <c r="O46" s="632" t="s">
        <v>30</v>
      </c>
      <c r="P46" s="632"/>
      <c r="Q46" s="632"/>
      <c r="R46" s="632"/>
    </row>
    <row r="47" spans="1:18">
      <c r="K47" s="124"/>
    </row>
    <row r="48" spans="1:18">
      <c r="P48" s="124"/>
      <c r="Q48" s="124"/>
    </row>
    <row r="49" spans="16:17">
      <c r="P49" s="124"/>
      <c r="Q49" s="124"/>
    </row>
    <row r="50" spans="16:17">
      <c r="P50" s="177"/>
      <c r="Q50" s="177"/>
    </row>
    <row r="54" spans="16:17">
      <c r="P54" s="249">
        <f>K38+L38-O38</f>
        <v>126548.04000000001</v>
      </c>
      <c r="Q54" s="249"/>
    </row>
    <row r="55" spans="16:17">
      <c r="P55" s="249">
        <f>P38-P54</f>
        <v>0</v>
      </c>
      <c r="Q55" s="249"/>
    </row>
  </sheetData>
  <mergeCells count="12">
    <mergeCell ref="I7:K7"/>
    <mergeCell ref="N7:O7"/>
    <mergeCell ref="C8:E8"/>
    <mergeCell ref="B2:R2"/>
    <mergeCell ref="B3:R3"/>
    <mergeCell ref="R7:R9"/>
    <mergeCell ref="B45:E45"/>
    <mergeCell ref="O45:R45"/>
    <mergeCell ref="B46:E46"/>
    <mergeCell ref="O46:R46"/>
    <mergeCell ref="G45:M45"/>
    <mergeCell ref="H46:M46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5"/>
  <sheetViews>
    <sheetView topLeftCell="A19" workbookViewId="0">
      <selection activeCell="A29" sqref="A29:XFD29"/>
    </sheetView>
  </sheetViews>
  <sheetFormatPr baseColWidth="10" defaultRowHeight="11.25"/>
  <cols>
    <col min="1" max="1" width="11.42578125" style="113"/>
    <col min="2" max="2" width="5.85546875" style="113" customWidth="1"/>
    <col min="3" max="3" width="9.28515625" style="113" customWidth="1"/>
    <col min="4" max="4" width="9" style="113" customWidth="1"/>
    <col min="5" max="5" width="15.42578125" style="113" customWidth="1"/>
    <col min="6" max="6" width="12.28515625" style="113" customWidth="1"/>
    <col min="7" max="7" width="0.7109375" style="113" hidden="1" customWidth="1"/>
    <col min="8" max="8" width="11.140625" style="321" hidden="1" customWidth="1"/>
    <col min="9" max="9" width="4.85546875" style="113" customWidth="1"/>
    <col min="10" max="10" width="12.42578125" style="135" customWidth="1"/>
    <col min="11" max="11" width="5.42578125" style="113" hidden="1" customWidth="1"/>
    <col min="12" max="12" width="12.140625" style="135" customWidth="1"/>
    <col min="13" max="13" width="10.85546875" style="113" customWidth="1"/>
    <col min="14" max="14" width="12" style="113" customWidth="1"/>
    <col min="15" max="15" width="11" style="113" customWidth="1"/>
    <col min="16" max="17" width="11.7109375" style="113" customWidth="1"/>
    <col min="18" max="18" width="25.140625" style="113" customWidth="1"/>
    <col min="19" max="16384" width="11.42578125" style="113"/>
  </cols>
  <sheetData>
    <row r="2" spans="2:18" s="47" customFormat="1" ht="16.5">
      <c r="B2" s="670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597"/>
      <c r="R2" s="52"/>
    </row>
    <row r="3" spans="2:18" s="47" customFormat="1" ht="19.5">
      <c r="B3" s="658" t="s">
        <v>205</v>
      </c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60"/>
    </row>
    <row r="4" spans="2:18" s="47" customFormat="1" ht="17.25">
      <c r="B4" s="678" t="s">
        <v>729</v>
      </c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3"/>
    </row>
    <row r="5" spans="2:18" s="47" customFormat="1" ht="12.75">
      <c r="B5" s="103"/>
      <c r="C5" s="102"/>
      <c r="D5" s="102"/>
      <c r="E5" s="102"/>
      <c r="F5" s="102"/>
      <c r="G5" s="102"/>
      <c r="H5" s="317"/>
      <c r="I5" s="102"/>
      <c r="J5" s="102"/>
      <c r="K5" s="102"/>
      <c r="L5" s="102"/>
      <c r="M5" s="102"/>
      <c r="N5" s="102"/>
      <c r="O5" s="102"/>
      <c r="P5" s="102"/>
      <c r="Q5" s="102"/>
      <c r="R5" s="104"/>
    </row>
    <row r="6" spans="2:18" s="47" customFormat="1" ht="12.75">
      <c r="B6" s="105"/>
      <c r="C6" s="54" t="s">
        <v>0</v>
      </c>
      <c r="D6" s="55"/>
      <c r="E6" s="55"/>
      <c r="F6" s="55"/>
      <c r="G6" s="55"/>
      <c r="H6" s="318"/>
      <c r="I6" s="55"/>
      <c r="J6" s="55"/>
      <c r="K6" s="55"/>
      <c r="L6" s="55"/>
      <c r="M6" s="55"/>
      <c r="N6" s="55"/>
      <c r="O6" s="55"/>
      <c r="P6" s="55"/>
      <c r="Q6" s="55"/>
      <c r="R6" s="106"/>
    </row>
    <row r="7" spans="2:18" s="47" customFormat="1" ht="15.75">
      <c r="B7" s="126" t="s">
        <v>148</v>
      </c>
      <c r="C7" s="126"/>
      <c r="D7" s="127"/>
      <c r="E7" s="127" t="s">
        <v>149</v>
      </c>
      <c r="F7" s="128"/>
      <c r="G7" s="128"/>
      <c r="H7" s="319"/>
      <c r="I7" s="128"/>
      <c r="J7" s="128"/>
      <c r="K7" s="128"/>
      <c r="L7" s="128"/>
      <c r="M7" s="128"/>
      <c r="N7" s="128"/>
      <c r="O7" s="128"/>
      <c r="P7" s="128"/>
      <c r="Q7" s="128"/>
    </row>
    <row r="8" spans="2:18" ht="14.25">
      <c r="B8" s="129" t="s">
        <v>150</v>
      </c>
      <c r="C8" s="130"/>
      <c r="D8" s="130"/>
      <c r="E8" s="130"/>
      <c r="F8" s="130"/>
      <c r="G8" s="131" t="s">
        <v>28</v>
      </c>
      <c r="H8" s="320"/>
      <c r="I8" s="130"/>
      <c r="J8" s="672" t="s">
        <v>54</v>
      </c>
      <c r="K8" s="673"/>
      <c r="L8" s="674"/>
      <c r="M8" s="132"/>
      <c r="N8" s="672" t="s">
        <v>55</v>
      </c>
      <c r="O8" s="675"/>
      <c r="P8" s="132"/>
      <c r="Q8" s="608"/>
      <c r="R8" s="133"/>
    </row>
    <row r="9" spans="2:18" ht="18" customHeight="1">
      <c r="B9" s="430" t="s">
        <v>151</v>
      </c>
      <c r="C9" s="657" t="s">
        <v>46</v>
      </c>
      <c r="D9" s="657"/>
      <c r="E9" s="657"/>
      <c r="F9" s="431"/>
      <c r="G9" s="432"/>
      <c r="H9" s="449"/>
      <c r="I9" s="433" t="s">
        <v>57</v>
      </c>
      <c r="J9" s="434" t="s">
        <v>3</v>
      </c>
      <c r="K9" s="435" t="s">
        <v>59</v>
      </c>
      <c r="L9" s="436" t="s">
        <v>152</v>
      </c>
      <c r="M9" s="435"/>
      <c r="N9" s="681" t="s">
        <v>558</v>
      </c>
      <c r="O9" s="682"/>
      <c r="P9" s="440" t="s">
        <v>153</v>
      </c>
      <c r="Q9" s="609"/>
      <c r="R9" s="679" t="s">
        <v>29</v>
      </c>
    </row>
    <row r="10" spans="2:18" ht="18" customHeight="1">
      <c r="B10" s="441" t="s">
        <v>154</v>
      </c>
      <c r="C10" s="442" t="s">
        <v>47</v>
      </c>
      <c r="D10" s="443" t="s">
        <v>48</v>
      </c>
      <c r="E10" s="443" t="s">
        <v>49</v>
      </c>
      <c r="F10" s="443" t="s">
        <v>50</v>
      </c>
      <c r="G10" s="444" t="s">
        <v>51</v>
      </c>
      <c r="H10" s="450"/>
      <c r="I10" s="443" t="s">
        <v>155</v>
      </c>
      <c r="J10" s="445" t="s">
        <v>156</v>
      </c>
      <c r="K10" s="446" t="s">
        <v>157</v>
      </c>
      <c r="L10" s="447" t="s">
        <v>158</v>
      </c>
      <c r="M10" s="446" t="s">
        <v>554</v>
      </c>
      <c r="N10" s="443" t="s">
        <v>69</v>
      </c>
      <c r="O10" s="443" t="s">
        <v>160</v>
      </c>
      <c r="P10" s="448" t="s">
        <v>161</v>
      </c>
      <c r="Q10" s="448" t="s">
        <v>749</v>
      </c>
      <c r="R10" s="680"/>
    </row>
    <row r="11" spans="2:18" ht="18" customHeight="1">
      <c r="B11" s="134" t="s">
        <v>162</v>
      </c>
      <c r="C11" s="134"/>
      <c r="D11" s="134"/>
      <c r="E11" s="134"/>
      <c r="R11" s="136"/>
    </row>
    <row r="12" spans="2:18" ht="30" customHeight="1">
      <c r="B12" s="3">
        <v>1</v>
      </c>
      <c r="C12" s="3" t="s">
        <v>163</v>
      </c>
      <c r="D12" s="3" t="s">
        <v>107</v>
      </c>
      <c r="E12" s="114" t="s">
        <v>164</v>
      </c>
      <c r="F12" s="3" t="s">
        <v>542</v>
      </c>
      <c r="G12" s="3" t="s">
        <v>166</v>
      </c>
      <c r="H12" s="322">
        <f>13508/2</f>
        <v>6754</v>
      </c>
      <c r="I12" s="3">
        <v>15</v>
      </c>
      <c r="J12" s="76">
        <v>7024</v>
      </c>
      <c r="K12" s="137"/>
      <c r="L12" s="68">
        <f>J12</f>
        <v>7024</v>
      </c>
      <c r="M12" s="400"/>
      <c r="N12" s="76">
        <v>780</v>
      </c>
      <c r="O12" s="68">
        <f>N12+M12</f>
        <v>780</v>
      </c>
      <c r="P12" s="139">
        <f>L12-O12</f>
        <v>6244</v>
      </c>
      <c r="Q12" s="610">
        <f>P12*12</f>
        <v>74928</v>
      </c>
      <c r="R12" s="140"/>
    </row>
    <row r="13" spans="2:18" ht="30" customHeight="1">
      <c r="B13" s="3">
        <f>B12+1</f>
        <v>2</v>
      </c>
      <c r="C13" s="3" t="s">
        <v>99</v>
      </c>
      <c r="D13" s="3" t="s">
        <v>167</v>
      </c>
      <c r="E13" s="114" t="s">
        <v>168</v>
      </c>
      <c r="F13" s="3" t="s">
        <v>165</v>
      </c>
      <c r="G13" s="3" t="s">
        <v>169</v>
      </c>
      <c r="H13" s="322">
        <v>4621</v>
      </c>
      <c r="I13" s="3">
        <v>15</v>
      </c>
      <c r="J13" s="76">
        <v>4806</v>
      </c>
      <c r="K13" s="137"/>
      <c r="L13" s="68">
        <f t="shared" ref="L13:L27" si="0">J13</f>
        <v>4806</v>
      </c>
      <c r="M13" s="400">
        <v>0</v>
      </c>
      <c r="N13" s="76">
        <v>386</v>
      </c>
      <c r="O13" s="68">
        <f t="shared" ref="O13:O27" si="1">N13+M13</f>
        <v>386</v>
      </c>
      <c r="P13" s="139">
        <f t="shared" ref="P13:P27" si="2">L13-O13</f>
        <v>4420</v>
      </c>
      <c r="Q13" s="610">
        <f t="shared" ref="Q13:Q27" si="3">P13*12</f>
        <v>53040</v>
      </c>
      <c r="R13" s="140"/>
    </row>
    <row r="14" spans="2:18" ht="30" customHeight="1">
      <c r="B14" s="3">
        <f t="shared" ref="B14:B15" si="4">B13+1</f>
        <v>3</v>
      </c>
      <c r="C14" s="3" t="s">
        <v>86</v>
      </c>
      <c r="D14" s="3" t="s">
        <v>171</v>
      </c>
      <c r="E14" s="114" t="s">
        <v>172</v>
      </c>
      <c r="F14" s="3" t="s">
        <v>165</v>
      </c>
      <c r="G14" s="118" t="s">
        <v>173</v>
      </c>
      <c r="H14" s="322">
        <f t="shared" ref="H14:H20" si="5">9242/2</f>
        <v>4621</v>
      </c>
      <c r="I14" s="3">
        <v>15</v>
      </c>
      <c r="J14" s="76">
        <v>4806</v>
      </c>
      <c r="K14" s="141"/>
      <c r="L14" s="68">
        <f t="shared" si="0"/>
        <v>4806</v>
      </c>
      <c r="M14" s="400"/>
      <c r="N14" s="76">
        <v>386</v>
      </c>
      <c r="O14" s="68">
        <f t="shared" si="1"/>
        <v>386</v>
      </c>
      <c r="P14" s="139">
        <f t="shared" si="2"/>
        <v>4420</v>
      </c>
      <c r="Q14" s="610">
        <f t="shared" si="3"/>
        <v>53040</v>
      </c>
      <c r="R14" s="140"/>
    </row>
    <row r="15" spans="2:18" ht="30" customHeight="1">
      <c r="B15" s="3">
        <f t="shared" si="4"/>
        <v>4</v>
      </c>
      <c r="C15" s="3" t="s">
        <v>170</v>
      </c>
      <c r="D15" s="3" t="s">
        <v>174</v>
      </c>
      <c r="E15" s="114" t="s">
        <v>175</v>
      </c>
      <c r="F15" s="3" t="s">
        <v>165</v>
      </c>
      <c r="G15" s="3" t="s">
        <v>176</v>
      </c>
      <c r="H15" s="322">
        <f t="shared" si="5"/>
        <v>4621</v>
      </c>
      <c r="I15" s="3">
        <v>15</v>
      </c>
      <c r="J15" s="76">
        <v>4806</v>
      </c>
      <c r="K15" s="141"/>
      <c r="L15" s="68">
        <f t="shared" si="0"/>
        <v>4806</v>
      </c>
      <c r="M15" s="400"/>
      <c r="N15" s="76">
        <v>386</v>
      </c>
      <c r="O15" s="68">
        <f t="shared" si="1"/>
        <v>386</v>
      </c>
      <c r="P15" s="139">
        <f t="shared" si="2"/>
        <v>4420</v>
      </c>
      <c r="Q15" s="610">
        <f t="shared" si="3"/>
        <v>53040</v>
      </c>
      <c r="R15" s="140"/>
    </row>
    <row r="16" spans="2:18" ht="30" customHeight="1">
      <c r="B16" s="3">
        <f t="shared" ref="B16:B20" si="6">B15+1</f>
        <v>5</v>
      </c>
      <c r="C16" s="3" t="s">
        <v>177</v>
      </c>
      <c r="D16" s="3" t="s">
        <v>178</v>
      </c>
      <c r="E16" s="114" t="s">
        <v>179</v>
      </c>
      <c r="F16" s="3" t="s">
        <v>165</v>
      </c>
      <c r="G16" s="3" t="s">
        <v>180</v>
      </c>
      <c r="H16" s="322">
        <f t="shared" si="5"/>
        <v>4621</v>
      </c>
      <c r="I16" s="3">
        <v>15</v>
      </c>
      <c r="J16" s="76">
        <v>4806</v>
      </c>
      <c r="K16" s="141"/>
      <c r="L16" s="68">
        <f t="shared" si="0"/>
        <v>4806</v>
      </c>
      <c r="M16" s="400"/>
      <c r="N16" s="76">
        <v>386</v>
      </c>
      <c r="O16" s="68">
        <f t="shared" si="1"/>
        <v>386</v>
      </c>
      <c r="P16" s="139">
        <f t="shared" si="2"/>
        <v>4420</v>
      </c>
      <c r="Q16" s="610">
        <f t="shared" si="3"/>
        <v>53040</v>
      </c>
      <c r="R16" s="140"/>
    </row>
    <row r="17" spans="2:18" ht="30" customHeight="1">
      <c r="B17" s="3">
        <f t="shared" si="6"/>
        <v>6</v>
      </c>
      <c r="C17" s="3" t="s">
        <v>99</v>
      </c>
      <c r="D17" s="3" t="s">
        <v>139</v>
      </c>
      <c r="E17" s="114" t="s">
        <v>181</v>
      </c>
      <c r="F17" s="3" t="s">
        <v>165</v>
      </c>
      <c r="G17" s="3" t="s">
        <v>182</v>
      </c>
      <c r="H17" s="322">
        <f t="shared" si="5"/>
        <v>4621</v>
      </c>
      <c r="I17" s="3">
        <v>15</v>
      </c>
      <c r="J17" s="76">
        <v>4806</v>
      </c>
      <c r="K17" s="141"/>
      <c r="L17" s="68">
        <f t="shared" si="0"/>
        <v>4806</v>
      </c>
      <c r="M17" s="400"/>
      <c r="N17" s="76">
        <v>386</v>
      </c>
      <c r="O17" s="68">
        <f t="shared" si="1"/>
        <v>386</v>
      </c>
      <c r="P17" s="139">
        <f t="shared" si="2"/>
        <v>4420</v>
      </c>
      <c r="Q17" s="610">
        <f t="shared" si="3"/>
        <v>53040</v>
      </c>
      <c r="R17" s="140"/>
    </row>
    <row r="18" spans="2:18" ht="30" customHeight="1">
      <c r="B18" s="3">
        <f t="shared" si="6"/>
        <v>7</v>
      </c>
      <c r="C18" s="3" t="s">
        <v>183</v>
      </c>
      <c r="D18" s="3" t="s">
        <v>184</v>
      </c>
      <c r="E18" s="114" t="s">
        <v>185</v>
      </c>
      <c r="F18" s="3" t="s">
        <v>165</v>
      </c>
      <c r="G18" s="3" t="s">
        <v>186</v>
      </c>
      <c r="H18" s="322">
        <f t="shared" si="5"/>
        <v>4621</v>
      </c>
      <c r="I18" s="3">
        <v>15</v>
      </c>
      <c r="J18" s="76">
        <v>4806</v>
      </c>
      <c r="K18" s="141"/>
      <c r="L18" s="68">
        <f t="shared" si="0"/>
        <v>4806</v>
      </c>
      <c r="M18" s="400"/>
      <c r="N18" s="76">
        <v>386</v>
      </c>
      <c r="O18" s="68">
        <f t="shared" si="1"/>
        <v>386</v>
      </c>
      <c r="P18" s="139">
        <f t="shared" si="2"/>
        <v>4420</v>
      </c>
      <c r="Q18" s="610">
        <f t="shared" si="3"/>
        <v>53040</v>
      </c>
      <c r="R18" s="140"/>
    </row>
    <row r="19" spans="2:18" ht="30" customHeight="1">
      <c r="B19" s="3">
        <f t="shared" si="6"/>
        <v>8</v>
      </c>
      <c r="C19" s="3" t="s">
        <v>107</v>
      </c>
      <c r="D19" s="3" t="s">
        <v>86</v>
      </c>
      <c r="E19" s="114" t="s">
        <v>187</v>
      </c>
      <c r="F19" s="3" t="s">
        <v>165</v>
      </c>
      <c r="G19" s="3"/>
      <c r="H19" s="322">
        <f t="shared" si="5"/>
        <v>4621</v>
      </c>
      <c r="I19" s="3">
        <v>15</v>
      </c>
      <c r="J19" s="76">
        <v>4806</v>
      </c>
      <c r="K19" s="141"/>
      <c r="L19" s="68">
        <f t="shared" si="0"/>
        <v>4806</v>
      </c>
      <c r="M19" s="400"/>
      <c r="N19" s="76">
        <v>386</v>
      </c>
      <c r="O19" s="68">
        <f t="shared" si="1"/>
        <v>386</v>
      </c>
      <c r="P19" s="139">
        <f t="shared" si="2"/>
        <v>4420</v>
      </c>
      <c r="Q19" s="610">
        <f t="shared" si="3"/>
        <v>53040</v>
      </c>
      <c r="R19" s="140"/>
    </row>
    <row r="20" spans="2:18" ht="30" customHeight="1">
      <c r="B20" s="3">
        <f t="shared" si="6"/>
        <v>9</v>
      </c>
      <c r="C20" s="114" t="s">
        <v>100</v>
      </c>
      <c r="D20" s="114" t="s">
        <v>188</v>
      </c>
      <c r="E20" s="114" t="s">
        <v>189</v>
      </c>
      <c r="F20" s="114" t="s">
        <v>165</v>
      </c>
      <c r="G20" s="114"/>
      <c r="H20" s="322">
        <f t="shared" si="5"/>
        <v>4621</v>
      </c>
      <c r="I20" s="114">
        <v>15</v>
      </c>
      <c r="J20" s="76">
        <v>4806</v>
      </c>
      <c r="K20" s="271"/>
      <c r="L20" s="68">
        <f t="shared" si="0"/>
        <v>4806</v>
      </c>
      <c r="M20" s="400"/>
      <c r="N20" s="76">
        <v>386</v>
      </c>
      <c r="O20" s="68">
        <f t="shared" si="1"/>
        <v>386</v>
      </c>
      <c r="P20" s="139">
        <f t="shared" si="2"/>
        <v>4420</v>
      </c>
      <c r="Q20" s="610">
        <f t="shared" si="3"/>
        <v>53040</v>
      </c>
      <c r="R20" s="140"/>
    </row>
    <row r="21" spans="2:18" ht="30" customHeight="1">
      <c r="B21" s="3">
        <v>10</v>
      </c>
      <c r="C21" s="118" t="s">
        <v>167</v>
      </c>
      <c r="D21" s="118" t="s">
        <v>210</v>
      </c>
      <c r="E21" s="243" t="s">
        <v>211</v>
      </c>
      <c r="F21" s="118" t="s">
        <v>165</v>
      </c>
      <c r="G21" s="118"/>
      <c r="H21" s="323">
        <f>9242/2</f>
        <v>4621</v>
      </c>
      <c r="I21" s="118">
        <v>15</v>
      </c>
      <c r="J21" s="76">
        <v>4806</v>
      </c>
      <c r="K21" s="141"/>
      <c r="L21" s="68">
        <f t="shared" si="0"/>
        <v>4806</v>
      </c>
      <c r="M21" s="138"/>
      <c r="N21" s="76">
        <v>386</v>
      </c>
      <c r="O21" s="68">
        <f t="shared" si="1"/>
        <v>386</v>
      </c>
      <c r="P21" s="139">
        <f t="shared" si="2"/>
        <v>4420</v>
      </c>
      <c r="Q21" s="610">
        <f t="shared" si="3"/>
        <v>53040</v>
      </c>
      <c r="R21" s="136"/>
    </row>
    <row r="22" spans="2:18" ht="24.75" customHeight="1">
      <c r="B22" s="3">
        <v>11</v>
      </c>
      <c r="C22" s="142" t="s">
        <v>76</v>
      </c>
      <c r="D22" s="142" t="s">
        <v>81</v>
      </c>
      <c r="E22" s="142" t="s">
        <v>195</v>
      </c>
      <c r="F22" s="142" t="s">
        <v>165</v>
      </c>
      <c r="G22" s="142"/>
      <c r="H22" s="324">
        <f>9242/2</f>
        <v>4621</v>
      </c>
      <c r="I22" s="142">
        <v>15</v>
      </c>
      <c r="J22" s="76">
        <v>4806</v>
      </c>
      <c r="K22" s="245"/>
      <c r="L22" s="68">
        <f t="shared" si="0"/>
        <v>4806</v>
      </c>
      <c r="M22" s="245"/>
      <c r="N22" s="76">
        <v>386</v>
      </c>
      <c r="O22" s="68">
        <f t="shared" si="1"/>
        <v>386</v>
      </c>
      <c r="P22" s="139">
        <f t="shared" si="2"/>
        <v>4420</v>
      </c>
      <c r="Q22" s="610">
        <f t="shared" si="3"/>
        <v>53040</v>
      </c>
      <c r="R22" s="142"/>
    </row>
    <row r="23" spans="2:18" ht="24.75" customHeight="1">
      <c r="B23" s="3">
        <v>12</v>
      </c>
      <c r="C23" s="142" t="s">
        <v>610</v>
      </c>
      <c r="D23" s="142" t="s">
        <v>107</v>
      </c>
      <c r="E23" s="142" t="s">
        <v>611</v>
      </c>
      <c r="F23" s="142" t="s">
        <v>165</v>
      </c>
      <c r="G23" s="142"/>
      <c r="H23" s="324"/>
      <c r="I23" s="142">
        <v>15</v>
      </c>
      <c r="J23" s="76">
        <v>4806</v>
      </c>
      <c r="K23" s="245"/>
      <c r="L23" s="68">
        <f t="shared" si="0"/>
        <v>4806</v>
      </c>
      <c r="M23" s="245"/>
      <c r="N23" s="76">
        <v>386</v>
      </c>
      <c r="O23" s="68">
        <f t="shared" si="1"/>
        <v>386</v>
      </c>
      <c r="P23" s="139">
        <f t="shared" si="2"/>
        <v>4420</v>
      </c>
      <c r="Q23" s="610">
        <f t="shared" si="3"/>
        <v>53040</v>
      </c>
      <c r="R23" s="142"/>
    </row>
    <row r="24" spans="2:18" ht="24.75" customHeight="1">
      <c r="B24" s="3">
        <v>13</v>
      </c>
      <c r="C24" s="142" t="s">
        <v>273</v>
      </c>
      <c r="D24" s="142" t="s">
        <v>664</v>
      </c>
      <c r="E24" s="142" t="s">
        <v>665</v>
      </c>
      <c r="F24" s="142" t="s">
        <v>165</v>
      </c>
      <c r="G24" s="142"/>
      <c r="H24" s="324"/>
      <c r="I24" s="142">
        <v>15</v>
      </c>
      <c r="J24" s="76">
        <v>4806</v>
      </c>
      <c r="K24" s="245"/>
      <c r="L24" s="68">
        <f t="shared" si="0"/>
        <v>4806</v>
      </c>
      <c r="M24" s="245"/>
      <c r="N24" s="76">
        <v>386</v>
      </c>
      <c r="O24" s="68">
        <f t="shared" si="1"/>
        <v>386</v>
      </c>
      <c r="P24" s="139">
        <f t="shared" si="2"/>
        <v>4420</v>
      </c>
      <c r="Q24" s="610">
        <f t="shared" si="3"/>
        <v>53040</v>
      </c>
      <c r="R24" s="142"/>
    </row>
    <row r="25" spans="2:18" ht="24.75" customHeight="1">
      <c r="B25" s="3">
        <v>14</v>
      </c>
      <c r="C25" s="142" t="s">
        <v>672</v>
      </c>
      <c r="D25" s="142" t="s">
        <v>184</v>
      </c>
      <c r="E25" s="142" t="s">
        <v>673</v>
      </c>
      <c r="F25" s="142" t="s">
        <v>165</v>
      </c>
      <c r="G25" s="142"/>
      <c r="H25" s="324"/>
      <c r="I25" s="142">
        <v>15</v>
      </c>
      <c r="J25" s="76">
        <v>4806</v>
      </c>
      <c r="K25" s="245"/>
      <c r="L25" s="68">
        <f t="shared" si="0"/>
        <v>4806</v>
      </c>
      <c r="M25" s="245"/>
      <c r="N25" s="245">
        <v>386</v>
      </c>
      <c r="O25" s="68">
        <f t="shared" si="1"/>
        <v>386</v>
      </c>
      <c r="P25" s="139">
        <f t="shared" si="2"/>
        <v>4420</v>
      </c>
      <c r="Q25" s="610">
        <f t="shared" si="3"/>
        <v>53040</v>
      </c>
      <c r="R25" s="142"/>
    </row>
    <row r="26" spans="2:18" ht="24.75" customHeight="1">
      <c r="B26" s="3">
        <v>15</v>
      </c>
      <c r="C26" s="142" t="s">
        <v>170</v>
      </c>
      <c r="D26" s="142" t="s">
        <v>686</v>
      </c>
      <c r="E26" s="142" t="s">
        <v>687</v>
      </c>
      <c r="F26" s="142" t="s">
        <v>165</v>
      </c>
      <c r="G26" s="142"/>
      <c r="H26" s="546"/>
      <c r="I26" s="142">
        <v>15</v>
      </c>
      <c r="J26" s="76">
        <v>4806</v>
      </c>
      <c r="K26" s="245"/>
      <c r="L26" s="76">
        <f t="shared" si="0"/>
        <v>4806</v>
      </c>
      <c r="M26" s="245"/>
      <c r="N26" s="245">
        <v>386</v>
      </c>
      <c r="O26" s="76">
        <f t="shared" si="1"/>
        <v>386</v>
      </c>
      <c r="P26" s="75">
        <f t="shared" si="2"/>
        <v>4420</v>
      </c>
      <c r="Q26" s="610">
        <f t="shared" si="3"/>
        <v>53040</v>
      </c>
      <c r="R26" s="142"/>
    </row>
    <row r="27" spans="2:18" ht="24.75" customHeight="1">
      <c r="B27" s="3">
        <v>16</v>
      </c>
      <c r="C27" s="142" t="s">
        <v>646</v>
      </c>
      <c r="D27" s="142" t="s">
        <v>688</v>
      </c>
      <c r="E27" s="142" t="s">
        <v>689</v>
      </c>
      <c r="F27" s="142" t="s">
        <v>165</v>
      </c>
      <c r="G27" s="142"/>
      <c r="H27" s="546"/>
      <c r="I27" s="142">
        <v>15</v>
      </c>
      <c r="J27" s="76">
        <v>4806</v>
      </c>
      <c r="K27" s="245"/>
      <c r="L27" s="76">
        <f t="shared" si="0"/>
        <v>4806</v>
      </c>
      <c r="M27" s="245"/>
      <c r="N27" s="245">
        <v>386</v>
      </c>
      <c r="O27" s="76">
        <f t="shared" si="1"/>
        <v>386</v>
      </c>
      <c r="P27" s="75">
        <f t="shared" si="2"/>
        <v>4420</v>
      </c>
      <c r="Q27" s="610">
        <f t="shared" si="3"/>
        <v>53040</v>
      </c>
      <c r="R27" s="142"/>
    </row>
    <row r="28" spans="2:18" ht="22.5" customHeight="1" thickBot="1">
      <c r="B28" s="676" t="s">
        <v>44</v>
      </c>
      <c r="C28" s="677"/>
      <c r="D28" s="677"/>
      <c r="E28" s="677"/>
      <c r="F28" s="677"/>
      <c r="G28" s="677"/>
      <c r="H28" s="677"/>
      <c r="I28" s="677"/>
      <c r="J28" s="531">
        <f>SUM(J12:K24)</f>
        <v>64696</v>
      </c>
      <c r="K28" s="531">
        <f t="shared" ref="K28" si="7">SUM(K12:K22)</f>
        <v>0</v>
      </c>
      <c r="L28" s="531">
        <f>SUM(L12:L27)</f>
        <v>79114</v>
      </c>
      <c r="M28" s="531">
        <f>SUM(M12:M22)</f>
        <v>0</v>
      </c>
      <c r="N28" s="531">
        <f>SUM(N12:N27)</f>
        <v>6570</v>
      </c>
      <c r="O28" s="531">
        <f>SUM(O12:O27)</f>
        <v>6570</v>
      </c>
      <c r="P28" s="244">
        <f>SUM(P12:P27)</f>
        <v>72544</v>
      </c>
      <c r="Q28" s="611">
        <f>SUM(Q12:Q27)</f>
        <v>870528</v>
      </c>
      <c r="R28" s="143"/>
    </row>
    <row r="29" spans="2:18" ht="22.5" customHeight="1" thickTop="1">
      <c r="B29" s="144"/>
      <c r="C29" s="144"/>
      <c r="D29" s="144"/>
      <c r="E29" s="144"/>
      <c r="F29" s="144"/>
      <c r="G29" s="144"/>
      <c r="H29" s="325"/>
      <c r="I29" s="144"/>
      <c r="J29" s="145"/>
      <c r="K29" s="145"/>
      <c r="L29" s="145"/>
      <c r="M29" s="145"/>
      <c r="N29" s="145"/>
      <c r="O29" s="145"/>
      <c r="P29" s="145"/>
      <c r="Q29" s="145"/>
      <c r="R29" s="143"/>
    </row>
    <row r="30" spans="2:18" ht="22.5" customHeight="1">
      <c r="B30" s="147"/>
      <c r="C30" s="147"/>
      <c r="D30" s="147"/>
      <c r="E30" s="147"/>
      <c r="F30" s="144"/>
      <c r="G30" s="144"/>
      <c r="H30" s="325"/>
      <c r="I30" s="669"/>
      <c r="J30" s="669"/>
      <c r="K30" s="669"/>
      <c r="L30" s="669"/>
      <c r="M30" s="669"/>
      <c r="N30" s="145"/>
      <c r="O30" s="667"/>
      <c r="P30" s="667"/>
      <c r="Q30" s="667"/>
      <c r="R30" s="667"/>
    </row>
    <row r="31" spans="2:18" ht="15" customHeight="1">
      <c r="B31" s="633" t="s">
        <v>715</v>
      </c>
      <c r="C31" s="633"/>
      <c r="D31" s="633"/>
      <c r="E31" s="633"/>
      <c r="F31" s="146"/>
      <c r="G31" s="146"/>
      <c r="H31" s="326"/>
      <c r="I31" s="633" t="s">
        <v>693</v>
      </c>
      <c r="J31" s="633"/>
      <c r="K31" s="633"/>
      <c r="L31" s="633"/>
      <c r="M31" s="633"/>
      <c r="O31" s="633" t="s">
        <v>653</v>
      </c>
      <c r="P31" s="633"/>
      <c r="Q31" s="633"/>
      <c r="R31" s="633"/>
    </row>
    <row r="32" spans="2:18" ht="12.75">
      <c r="B32" s="633" t="s">
        <v>144</v>
      </c>
      <c r="C32" s="633"/>
      <c r="D32" s="633"/>
      <c r="E32" s="633"/>
      <c r="F32" s="146"/>
      <c r="I32" s="633" t="s">
        <v>145</v>
      </c>
      <c r="J32" s="633"/>
      <c r="K32" s="633"/>
      <c r="L32" s="633"/>
      <c r="M32" s="633"/>
      <c r="O32" s="668" t="s">
        <v>617</v>
      </c>
      <c r="P32" s="668"/>
      <c r="Q32" s="668"/>
      <c r="R32" s="668"/>
    </row>
    <row r="33" spans="10:17">
      <c r="J33" s="113"/>
      <c r="L33" s="113"/>
    </row>
    <row r="34" spans="10:17" ht="15" customHeight="1">
      <c r="J34" s="112"/>
      <c r="L34" s="112"/>
      <c r="N34" s="112"/>
      <c r="O34" s="112"/>
      <c r="P34" s="112">
        <f>L28-O28</f>
        <v>72544</v>
      </c>
      <c r="Q34" s="112"/>
    </row>
    <row r="35" spans="10:17" ht="15" customHeight="1">
      <c r="J35" s="113"/>
      <c r="L35" s="113"/>
      <c r="P35" s="112">
        <f>P28-P34</f>
        <v>0</v>
      </c>
      <c r="Q35" s="112"/>
    </row>
  </sheetData>
  <mergeCells count="17">
    <mergeCell ref="B2:P2"/>
    <mergeCell ref="J8:L8"/>
    <mergeCell ref="N8:O8"/>
    <mergeCell ref="C9:E9"/>
    <mergeCell ref="B28:I28"/>
    <mergeCell ref="B3:R3"/>
    <mergeCell ref="B4:R4"/>
    <mergeCell ref="R9:R10"/>
    <mergeCell ref="N9:O9"/>
    <mergeCell ref="I32:M32"/>
    <mergeCell ref="B31:E31"/>
    <mergeCell ref="B32:E32"/>
    <mergeCell ref="O30:R30"/>
    <mergeCell ref="O31:R31"/>
    <mergeCell ref="O32:R32"/>
    <mergeCell ref="I30:M30"/>
    <mergeCell ref="I31:M31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T52"/>
  <sheetViews>
    <sheetView topLeftCell="A19" workbookViewId="0">
      <selection activeCell="S35" sqref="S35"/>
    </sheetView>
  </sheetViews>
  <sheetFormatPr baseColWidth="10" defaultRowHeight="12.75"/>
  <cols>
    <col min="1" max="1" width="2.5703125" style="47" customWidth="1"/>
    <col min="2" max="2" width="3.28515625" style="47" customWidth="1"/>
    <col min="3" max="3" width="9" style="47" customWidth="1"/>
    <col min="4" max="4" width="9.28515625" style="47" customWidth="1"/>
    <col min="5" max="5" width="13.85546875" style="47" customWidth="1"/>
    <col min="6" max="6" width="17.85546875" style="47" customWidth="1"/>
    <col min="7" max="7" width="4.42578125" style="47" hidden="1" customWidth="1"/>
    <col min="8" max="8" width="4.28515625" style="47" customWidth="1"/>
    <col min="9" max="9" width="9.140625" style="47" hidden="1" customWidth="1"/>
    <col min="10" max="10" width="9.42578125" style="328" hidden="1" customWidth="1"/>
    <col min="11" max="11" width="12.140625" style="48" customWidth="1"/>
    <col min="12" max="12" width="12.85546875" style="48" hidden="1" customWidth="1"/>
    <col min="13" max="13" width="12" style="48" customWidth="1"/>
    <col min="14" max="15" width="10.140625" style="48" customWidth="1"/>
    <col min="16" max="16" width="11.28515625" style="48" customWidth="1"/>
    <col min="17" max="17" width="11.42578125" style="48" customWidth="1"/>
    <col min="18" max="19" width="14.42578125" style="48" customWidth="1"/>
    <col min="20" max="20" width="29.5703125" style="47" customWidth="1"/>
    <col min="21" max="16384" width="11.42578125" style="47"/>
  </cols>
  <sheetData>
    <row r="2" spans="2:20">
      <c r="B2" s="49"/>
      <c r="C2" s="50"/>
      <c r="D2" s="50"/>
      <c r="E2" s="50"/>
      <c r="F2" s="50"/>
      <c r="G2" s="50"/>
      <c r="H2" s="50"/>
      <c r="I2" s="50"/>
      <c r="J2" s="327"/>
      <c r="K2" s="51"/>
      <c r="L2" s="51"/>
      <c r="M2" s="51"/>
      <c r="N2" s="51"/>
      <c r="O2" s="51"/>
      <c r="P2" s="51"/>
      <c r="Q2" s="51"/>
      <c r="R2" s="51"/>
      <c r="S2" s="51"/>
      <c r="T2" s="52"/>
    </row>
    <row r="3" spans="2:20" ht="19.5">
      <c r="B3" s="687" t="s">
        <v>205</v>
      </c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9"/>
    </row>
    <row r="4" spans="2:20" ht="17.25">
      <c r="B4" s="661" t="s">
        <v>730</v>
      </c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1"/>
    </row>
    <row r="5" spans="2:20">
      <c r="B5" s="53"/>
      <c r="C5" s="54" t="s">
        <v>0</v>
      </c>
      <c r="D5" s="55"/>
      <c r="E5" s="55"/>
      <c r="K5" s="56"/>
      <c r="L5" s="56"/>
      <c r="M5" s="56"/>
      <c r="N5" s="56"/>
      <c r="O5" s="56"/>
      <c r="P5" s="56"/>
      <c r="Q5" s="56"/>
      <c r="R5" s="56"/>
      <c r="S5" s="56"/>
      <c r="T5" s="57"/>
    </row>
    <row r="6" spans="2:20">
      <c r="B6" s="58"/>
      <c r="C6" s="242" t="s">
        <v>525</v>
      </c>
      <c r="D6" s="242"/>
      <c r="E6" s="59"/>
      <c r="F6" s="59"/>
      <c r="G6" s="59"/>
      <c r="H6" s="59"/>
      <c r="I6" s="59"/>
      <c r="J6" s="329"/>
      <c r="K6" s="60"/>
      <c r="L6" s="60"/>
      <c r="M6" s="60"/>
      <c r="N6" s="60"/>
      <c r="O6" s="60"/>
      <c r="P6" s="60"/>
      <c r="Q6" s="60"/>
      <c r="R6" s="60"/>
      <c r="S6" s="60"/>
      <c r="T6" s="61"/>
    </row>
    <row r="7" spans="2:20" ht="15.75" customHeight="1">
      <c r="B7" s="451" t="s">
        <v>53</v>
      </c>
      <c r="C7" s="452"/>
      <c r="D7" s="452"/>
      <c r="E7" s="452"/>
      <c r="F7" s="684"/>
      <c r="G7" s="684"/>
      <c r="H7" s="684"/>
      <c r="I7" s="453"/>
      <c r="J7" s="453"/>
      <c r="K7" s="683" t="s">
        <v>54</v>
      </c>
      <c r="L7" s="683"/>
      <c r="M7" s="683"/>
      <c r="N7" s="683"/>
      <c r="O7" s="683"/>
      <c r="P7" s="685" t="s">
        <v>55</v>
      </c>
      <c r="Q7" s="686"/>
      <c r="R7" s="454"/>
      <c r="S7" s="598"/>
      <c r="T7" s="692" t="s">
        <v>29</v>
      </c>
    </row>
    <row r="8" spans="2:20">
      <c r="B8" s="455" t="s">
        <v>56</v>
      </c>
      <c r="C8" s="456" t="s">
        <v>46</v>
      </c>
      <c r="D8" s="457"/>
      <c r="E8" s="457"/>
      <c r="F8" s="458"/>
      <c r="G8" s="459"/>
      <c r="H8" s="460" t="s">
        <v>57</v>
      </c>
      <c r="I8" s="460"/>
      <c r="J8" s="460"/>
      <c r="K8" s="461" t="s">
        <v>58</v>
      </c>
      <c r="L8" s="462" t="s">
        <v>59</v>
      </c>
      <c r="M8" s="461" t="s">
        <v>60</v>
      </c>
      <c r="N8" s="461" t="s">
        <v>61</v>
      </c>
      <c r="O8" s="461"/>
      <c r="P8" s="461"/>
      <c r="Q8" s="461" t="s">
        <v>62</v>
      </c>
      <c r="R8" s="463"/>
      <c r="S8" s="605"/>
      <c r="T8" s="693"/>
    </row>
    <row r="9" spans="2:20">
      <c r="B9" s="464" t="s">
        <v>63</v>
      </c>
      <c r="C9" s="465" t="s">
        <v>47</v>
      </c>
      <c r="D9" s="465" t="s">
        <v>48</v>
      </c>
      <c r="E9" s="465" t="s">
        <v>49</v>
      </c>
      <c r="F9" s="465" t="s">
        <v>50</v>
      </c>
      <c r="G9" s="466" t="s">
        <v>51</v>
      </c>
      <c r="H9" s="467" t="s">
        <v>64</v>
      </c>
      <c r="I9" s="467"/>
      <c r="J9" s="467"/>
      <c r="K9" s="468" t="s">
        <v>65</v>
      </c>
      <c r="L9" s="469" t="s">
        <v>66</v>
      </c>
      <c r="M9" s="468" t="s">
        <v>67</v>
      </c>
      <c r="N9" s="468" t="s">
        <v>68</v>
      </c>
      <c r="O9" s="468" t="s">
        <v>554</v>
      </c>
      <c r="P9" s="468" t="s">
        <v>69</v>
      </c>
      <c r="Q9" s="468" t="s">
        <v>70</v>
      </c>
      <c r="R9" s="554" t="s">
        <v>71</v>
      </c>
      <c r="S9" s="469" t="s">
        <v>749</v>
      </c>
      <c r="T9" s="694"/>
    </row>
    <row r="10" spans="2:20">
      <c r="B10" s="96"/>
      <c r="C10" s="62"/>
      <c r="D10" s="62"/>
      <c r="E10" s="62"/>
      <c r="F10" s="62"/>
      <c r="G10" s="62"/>
      <c r="H10" s="62"/>
      <c r="I10" s="62"/>
      <c r="J10" s="330"/>
      <c r="K10" s="63"/>
      <c r="L10" s="63"/>
      <c r="M10" s="63"/>
      <c r="N10" s="63"/>
      <c r="O10" s="63"/>
      <c r="P10" s="63"/>
      <c r="Q10" s="63"/>
      <c r="R10" s="63"/>
      <c r="S10" s="63"/>
      <c r="T10" s="64"/>
    </row>
    <row r="11" spans="2:20" ht="27.95" customHeight="1">
      <c r="B11" s="8">
        <v>1</v>
      </c>
      <c r="C11" s="2" t="s">
        <v>72</v>
      </c>
      <c r="D11" s="2" t="s">
        <v>73</v>
      </c>
      <c r="E11" s="2" t="s">
        <v>74</v>
      </c>
      <c r="F11" s="2" t="s">
        <v>75</v>
      </c>
      <c r="G11" s="73"/>
      <c r="H11" s="74">
        <v>15</v>
      </c>
      <c r="I11" s="75">
        <f>K11/15</f>
        <v>242.53333333333333</v>
      </c>
      <c r="J11" s="332">
        <f>6996/2</f>
        <v>3498</v>
      </c>
      <c r="K11" s="76">
        <v>3638</v>
      </c>
      <c r="L11" s="76"/>
      <c r="M11" s="76">
        <f>K11</f>
        <v>3638</v>
      </c>
      <c r="N11" s="76">
        <v>0</v>
      </c>
      <c r="O11" s="76"/>
      <c r="P11" s="76">
        <v>150</v>
      </c>
      <c r="Q11" s="76">
        <f>O11+P11</f>
        <v>150</v>
      </c>
      <c r="R11" s="110">
        <f>M11-Q11</f>
        <v>3488</v>
      </c>
      <c r="S11" s="110">
        <f>R11*12</f>
        <v>41856</v>
      </c>
      <c r="T11" s="589"/>
    </row>
    <row r="12" spans="2:20" ht="27.95" customHeight="1">
      <c r="B12" s="1">
        <v>2</v>
      </c>
      <c r="C12" s="2" t="s">
        <v>76</v>
      </c>
      <c r="D12" s="2" t="s">
        <v>77</v>
      </c>
      <c r="E12" s="2" t="s">
        <v>78</v>
      </c>
      <c r="F12" s="2" t="s">
        <v>79</v>
      </c>
      <c r="G12" s="66"/>
      <c r="H12" s="66">
        <v>15</v>
      </c>
      <c r="I12" s="67">
        <f t="shared" ref="I12:I20" si="0">K12/15</f>
        <v>248.53333333333333</v>
      </c>
      <c r="J12" s="331">
        <f>7170/2</f>
        <v>3585</v>
      </c>
      <c r="K12" s="76">
        <v>3728</v>
      </c>
      <c r="L12" s="68"/>
      <c r="M12" s="68">
        <f t="shared" ref="M12:M33" si="1">K12</f>
        <v>3728</v>
      </c>
      <c r="N12" s="68">
        <v>0</v>
      </c>
      <c r="O12" s="76"/>
      <c r="P12" s="68">
        <v>269</v>
      </c>
      <c r="Q12" s="69">
        <f t="shared" ref="Q12:Q34" si="2">P12</f>
        <v>269</v>
      </c>
      <c r="R12" s="70">
        <f t="shared" ref="R12:R34" si="3">M12+N12-Q12-O12</f>
        <v>3459</v>
      </c>
      <c r="S12" s="110">
        <f t="shared" ref="S12:S34" si="4">R12*12</f>
        <v>41508</v>
      </c>
      <c r="T12" s="72"/>
    </row>
    <row r="13" spans="2:20" ht="27.95" customHeight="1">
      <c r="B13" s="1">
        <v>3</v>
      </c>
      <c r="C13" s="2" t="s">
        <v>80</v>
      </c>
      <c r="D13" s="2" t="s">
        <v>81</v>
      </c>
      <c r="E13" s="2" t="s">
        <v>82</v>
      </c>
      <c r="F13" s="2" t="s">
        <v>83</v>
      </c>
      <c r="G13" s="66"/>
      <c r="H13" s="66">
        <v>15</v>
      </c>
      <c r="I13" s="67">
        <f t="shared" si="0"/>
        <v>285.06666666666666</v>
      </c>
      <c r="J13" s="331">
        <f>8224/2</f>
        <v>4112</v>
      </c>
      <c r="K13" s="76">
        <v>4276</v>
      </c>
      <c r="L13" s="68"/>
      <c r="M13" s="68">
        <f t="shared" si="1"/>
        <v>4276</v>
      </c>
      <c r="N13" s="68">
        <v>0</v>
      </c>
      <c r="O13" s="68"/>
      <c r="P13" s="68">
        <v>328</v>
      </c>
      <c r="Q13" s="69">
        <f t="shared" si="2"/>
        <v>328</v>
      </c>
      <c r="R13" s="70">
        <f>M13+N13-Q13-O13</f>
        <v>3948</v>
      </c>
      <c r="S13" s="110">
        <f t="shared" si="4"/>
        <v>47376</v>
      </c>
      <c r="T13" s="72"/>
    </row>
    <row r="14" spans="2:20" ht="27.95" customHeight="1">
      <c r="B14" s="1">
        <v>4</v>
      </c>
      <c r="C14" s="2" t="s">
        <v>142</v>
      </c>
      <c r="D14" s="2" t="s">
        <v>117</v>
      </c>
      <c r="E14" s="2" t="s">
        <v>84</v>
      </c>
      <c r="F14" s="2" t="s">
        <v>75</v>
      </c>
      <c r="G14" s="66"/>
      <c r="H14" s="66">
        <v>15</v>
      </c>
      <c r="I14" s="67">
        <f t="shared" si="0"/>
        <v>242.53333333333333</v>
      </c>
      <c r="J14" s="331">
        <f>6996/2</f>
        <v>3498</v>
      </c>
      <c r="K14" s="76">
        <v>3638</v>
      </c>
      <c r="L14" s="68"/>
      <c r="M14" s="68">
        <f t="shared" si="1"/>
        <v>3638</v>
      </c>
      <c r="N14" s="68">
        <v>0</v>
      </c>
      <c r="O14" s="68"/>
      <c r="P14" s="68">
        <v>150</v>
      </c>
      <c r="Q14" s="69">
        <f t="shared" si="2"/>
        <v>150</v>
      </c>
      <c r="R14" s="70">
        <f t="shared" si="3"/>
        <v>3488</v>
      </c>
      <c r="S14" s="110">
        <f t="shared" si="4"/>
        <v>41856</v>
      </c>
      <c r="T14" s="72"/>
    </row>
    <row r="15" spans="2:20" ht="27.95" customHeight="1">
      <c r="B15" s="1">
        <v>5</v>
      </c>
      <c r="C15" s="2" t="s">
        <v>85</v>
      </c>
      <c r="D15" s="2" t="s">
        <v>86</v>
      </c>
      <c r="E15" s="2" t="s">
        <v>87</v>
      </c>
      <c r="F15" s="2" t="s">
        <v>88</v>
      </c>
      <c r="G15" s="73"/>
      <c r="H15" s="74">
        <v>15</v>
      </c>
      <c r="I15" s="75">
        <f t="shared" si="0"/>
        <v>346.06666666666666</v>
      </c>
      <c r="J15" s="332">
        <f>9984/2</f>
        <v>4992</v>
      </c>
      <c r="K15" s="76">
        <v>5191</v>
      </c>
      <c r="L15" s="76"/>
      <c r="M15" s="68">
        <f t="shared" si="1"/>
        <v>5191</v>
      </c>
      <c r="N15" s="76">
        <v>0</v>
      </c>
      <c r="O15" s="76"/>
      <c r="P15" s="76">
        <v>447</v>
      </c>
      <c r="Q15" s="69">
        <f t="shared" si="2"/>
        <v>447</v>
      </c>
      <c r="R15" s="70">
        <f t="shared" si="3"/>
        <v>4744</v>
      </c>
      <c r="S15" s="110">
        <f t="shared" si="4"/>
        <v>56928</v>
      </c>
      <c r="T15" s="77"/>
    </row>
    <row r="16" spans="2:20" ht="27.95" customHeight="1">
      <c r="B16" s="1">
        <v>6</v>
      </c>
      <c r="C16" s="7" t="s">
        <v>170</v>
      </c>
      <c r="D16" s="7" t="s">
        <v>203</v>
      </c>
      <c r="E16" s="7" t="s">
        <v>208</v>
      </c>
      <c r="F16" s="7" t="s">
        <v>75</v>
      </c>
      <c r="G16" s="65"/>
      <c r="H16" s="66">
        <v>15</v>
      </c>
      <c r="I16" s="67">
        <f t="shared" si="0"/>
        <v>267.66666666666669</v>
      </c>
      <c r="J16" s="331">
        <v>3861.14</v>
      </c>
      <c r="K16" s="76">
        <v>4015</v>
      </c>
      <c r="L16" s="68"/>
      <c r="M16" s="68">
        <f t="shared" si="1"/>
        <v>4015</v>
      </c>
      <c r="N16" s="68">
        <v>0</v>
      </c>
      <c r="O16" s="68"/>
      <c r="P16" s="68">
        <v>300</v>
      </c>
      <c r="Q16" s="69">
        <f t="shared" si="2"/>
        <v>300</v>
      </c>
      <c r="R16" s="70">
        <f t="shared" si="3"/>
        <v>3715</v>
      </c>
      <c r="S16" s="110">
        <f t="shared" si="4"/>
        <v>44580</v>
      </c>
      <c r="T16" s="72"/>
    </row>
    <row r="17" spans="2:20" ht="27.95" customHeight="1">
      <c r="B17" s="1">
        <v>7</v>
      </c>
      <c r="C17" s="2" t="s">
        <v>89</v>
      </c>
      <c r="D17" s="2" t="s">
        <v>90</v>
      </c>
      <c r="E17" s="2" t="s">
        <v>91</v>
      </c>
      <c r="F17" s="2" t="s">
        <v>75</v>
      </c>
      <c r="G17" s="65"/>
      <c r="H17" s="66">
        <v>15</v>
      </c>
      <c r="I17" s="67">
        <f t="shared" si="0"/>
        <v>285.06666666666666</v>
      </c>
      <c r="J17" s="331">
        <f>8224/2</f>
        <v>4112</v>
      </c>
      <c r="K17" s="76">
        <v>4276</v>
      </c>
      <c r="L17" s="68"/>
      <c r="M17" s="68">
        <f t="shared" si="1"/>
        <v>4276</v>
      </c>
      <c r="N17" s="68">
        <v>0</v>
      </c>
      <c r="O17" s="68"/>
      <c r="P17" s="68">
        <v>328</v>
      </c>
      <c r="Q17" s="69">
        <f t="shared" si="2"/>
        <v>328</v>
      </c>
      <c r="R17" s="70">
        <f t="shared" si="3"/>
        <v>3948</v>
      </c>
      <c r="S17" s="110">
        <f t="shared" si="4"/>
        <v>47376</v>
      </c>
      <c r="T17" s="72"/>
    </row>
    <row r="18" spans="2:20" ht="27.95" customHeight="1">
      <c r="B18" s="1">
        <v>8</v>
      </c>
      <c r="C18" s="2" t="s">
        <v>77</v>
      </c>
      <c r="D18" s="2" t="s">
        <v>92</v>
      </c>
      <c r="E18" s="2" t="s">
        <v>93</v>
      </c>
      <c r="F18" s="2" t="s">
        <v>94</v>
      </c>
      <c r="G18" s="65"/>
      <c r="H18" s="66">
        <v>15</v>
      </c>
      <c r="I18" s="67">
        <f>K18/15</f>
        <v>478.93333333333334</v>
      </c>
      <c r="J18" s="331">
        <f>13816/2</f>
        <v>6908</v>
      </c>
      <c r="K18" s="76">
        <v>7184</v>
      </c>
      <c r="L18" s="68"/>
      <c r="M18" s="68">
        <f t="shared" si="1"/>
        <v>7184</v>
      </c>
      <c r="N18" s="68">
        <v>0</v>
      </c>
      <c r="O18" s="68"/>
      <c r="P18" s="68">
        <v>814</v>
      </c>
      <c r="Q18" s="69">
        <f t="shared" si="2"/>
        <v>814</v>
      </c>
      <c r="R18" s="70">
        <f t="shared" si="3"/>
        <v>6370</v>
      </c>
      <c r="S18" s="110">
        <f t="shared" si="4"/>
        <v>76440</v>
      </c>
      <c r="T18" s="72"/>
    </row>
    <row r="19" spans="2:20" ht="27.95" customHeight="1">
      <c r="B19" s="1">
        <v>9</v>
      </c>
      <c r="C19" s="2" t="s">
        <v>95</v>
      </c>
      <c r="D19" s="2" t="s">
        <v>96</v>
      </c>
      <c r="E19" s="2" t="s">
        <v>97</v>
      </c>
      <c r="F19" s="2" t="s">
        <v>98</v>
      </c>
      <c r="G19" s="65"/>
      <c r="H19" s="66">
        <v>15</v>
      </c>
      <c r="I19" s="67">
        <f t="shared" si="0"/>
        <v>105.13333333333334</v>
      </c>
      <c r="J19" s="331">
        <f>3032/2</f>
        <v>1516</v>
      </c>
      <c r="K19" s="76">
        <v>1577</v>
      </c>
      <c r="L19" s="68"/>
      <c r="M19" s="68">
        <f t="shared" si="1"/>
        <v>1577</v>
      </c>
      <c r="N19" s="68">
        <v>116.82</v>
      </c>
      <c r="O19" s="68"/>
      <c r="P19" s="68"/>
      <c r="Q19" s="69">
        <f t="shared" si="2"/>
        <v>0</v>
      </c>
      <c r="R19" s="70">
        <f t="shared" si="3"/>
        <v>1693.82</v>
      </c>
      <c r="S19" s="110">
        <f t="shared" si="4"/>
        <v>20325.84</v>
      </c>
      <c r="T19" s="72"/>
    </row>
    <row r="20" spans="2:20" ht="27.95" customHeight="1">
      <c r="B20" s="1">
        <v>10</v>
      </c>
      <c r="C20" s="3" t="s">
        <v>100</v>
      </c>
      <c r="D20" s="3" t="s">
        <v>95</v>
      </c>
      <c r="E20" s="3" t="s">
        <v>101</v>
      </c>
      <c r="F20" s="3" t="s">
        <v>75</v>
      </c>
      <c r="G20" s="78"/>
      <c r="H20" s="78">
        <v>15</v>
      </c>
      <c r="I20" s="75">
        <f t="shared" si="0"/>
        <v>298.2</v>
      </c>
      <c r="J20" s="332">
        <f>8602/2</f>
        <v>4301</v>
      </c>
      <c r="K20" s="76">
        <v>4473</v>
      </c>
      <c r="L20" s="76"/>
      <c r="M20" s="68">
        <f t="shared" si="1"/>
        <v>4473</v>
      </c>
      <c r="N20" s="79">
        <v>0</v>
      </c>
      <c r="O20" s="79"/>
      <c r="P20" s="79">
        <v>350</v>
      </c>
      <c r="Q20" s="69">
        <f t="shared" si="2"/>
        <v>350</v>
      </c>
      <c r="R20" s="70">
        <f t="shared" si="3"/>
        <v>4123</v>
      </c>
      <c r="S20" s="110">
        <f t="shared" si="4"/>
        <v>49476</v>
      </c>
      <c r="T20" s="77"/>
    </row>
    <row r="21" spans="2:20" ht="27.95" customHeight="1">
      <c r="B21" s="1">
        <v>11</v>
      </c>
      <c r="C21" s="2" t="s">
        <v>104</v>
      </c>
      <c r="D21" s="2" t="s">
        <v>549</v>
      </c>
      <c r="E21" s="2" t="s">
        <v>105</v>
      </c>
      <c r="F21" s="2" t="s">
        <v>106</v>
      </c>
      <c r="G21" s="65"/>
      <c r="H21" s="66">
        <v>15</v>
      </c>
      <c r="I21" s="67">
        <f>K21/15</f>
        <v>208.2</v>
      </c>
      <c r="J21" s="331">
        <f>6006/2</f>
        <v>3003</v>
      </c>
      <c r="K21" s="417">
        <v>3123</v>
      </c>
      <c r="L21" s="68"/>
      <c r="M21" s="68">
        <f t="shared" si="1"/>
        <v>3123</v>
      </c>
      <c r="N21" s="68">
        <v>0</v>
      </c>
      <c r="O21" s="76"/>
      <c r="P21" s="76">
        <v>76</v>
      </c>
      <c r="Q21" s="69">
        <f>P21</f>
        <v>76</v>
      </c>
      <c r="R21" s="70">
        <f>M21+N21-Q21-O21</f>
        <v>3047</v>
      </c>
      <c r="S21" s="110">
        <f t="shared" si="4"/>
        <v>36564</v>
      </c>
      <c r="T21" s="72"/>
    </row>
    <row r="22" spans="2:20" ht="27.95" customHeight="1">
      <c r="B22" s="1">
        <v>12</v>
      </c>
      <c r="C22" s="5" t="s">
        <v>107</v>
      </c>
      <c r="D22" s="5" t="s">
        <v>107</v>
      </c>
      <c r="E22" s="5" t="s">
        <v>108</v>
      </c>
      <c r="F22" s="5" t="s">
        <v>109</v>
      </c>
      <c r="G22" s="80"/>
      <c r="H22" s="81">
        <v>15</v>
      </c>
      <c r="I22" s="82">
        <f>K22/15</f>
        <v>204.2</v>
      </c>
      <c r="J22" s="333">
        <f>5166/2</f>
        <v>2583</v>
      </c>
      <c r="K22" s="418">
        <v>3063</v>
      </c>
      <c r="L22" s="84"/>
      <c r="M22" s="68">
        <f t="shared" si="1"/>
        <v>3063</v>
      </c>
      <c r="N22" s="84"/>
      <c r="O22" s="84"/>
      <c r="P22" s="84">
        <v>49</v>
      </c>
      <c r="Q22" s="69">
        <f t="shared" si="2"/>
        <v>49</v>
      </c>
      <c r="R22" s="70">
        <f>M22+N22-Q22-O22</f>
        <v>3014</v>
      </c>
      <c r="S22" s="110">
        <f t="shared" si="4"/>
        <v>36168</v>
      </c>
      <c r="T22" s="72"/>
    </row>
    <row r="23" spans="2:20" ht="27.95" customHeight="1">
      <c r="B23" s="1">
        <v>13</v>
      </c>
      <c r="C23" s="2" t="s">
        <v>110</v>
      </c>
      <c r="D23" s="2" t="s">
        <v>111</v>
      </c>
      <c r="E23" s="2" t="s">
        <v>112</v>
      </c>
      <c r="F23" s="2" t="s">
        <v>113</v>
      </c>
      <c r="G23" s="66"/>
      <c r="H23" s="66">
        <v>15</v>
      </c>
      <c r="I23" s="85">
        <f t="shared" ref="I23:I34" si="5">K23/15</f>
        <v>30.2</v>
      </c>
      <c r="J23" s="334">
        <f>872/2</f>
        <v>436</v>
      </c>
      <c r="K23" s="76">
        <v>453</v>
      </c>
      <c r="L23" s="68">
        <v>0</v>
      </c>
      <c r="M23" s="68">
        <f t="shared" si="1"/>
        <v>453</v>
      </c>
      <c r="N23" s="68">
        <v>188.95</v>
      </c>
      <c r="O23" s="68"/>
      <c r="P23" s="68"/>
      <c r="Q23" s="69">
        <f t="shared" si="2"/>
        <v>0</v>
      </c>
      <c r="R23" s="70">
        <f t="shared" si="3"/>
        <v>641.95000000000005</v>
      </c>
      <c r="S23" s="110">
        <f t="shared" si="4"/>
        <v>7703.4000000000005</v>
      </c>
      <c r="T23" s="72"/>
    </row>
    <row r="24" spans="2:20" ht="27.95" customHeight="1">
      <c r="B24" s="1">
        <v>14</v>
      </c>
      <c r="C24" s="2" t="s">
        <v>114</v>
      </c>
      <c r="D24" s="2" t="s">
        <v>115</v>
      </c>
      <c r="E24" s="2" t="s">
        <v>116</v>
      </c>
      <c r="F24" s="2" t="s">
        <v>257</v>
      </c>
      <c r="G24" s="66"/>
      <c r="H24" s="66">
        <v>15</v>
      </c>
      <c r="I24" s="85">
        <f t="shared" si="5"/>
        <v>148.66666666666666</v>
      </c>
      <c r="J24" s="334">
        <f>4288/2</f>
        <v>2144</v>
      </c>
      <c r="K24" s="76">
        <v>2230</v>
      </c>
      <c r="L24" s="68">
        <v>0</v>
      </c>
      <c r="M24" s="68">
        <f t="shared" si="1"/>
        <v>2230</v>
      </c>
      <c r="N24" s="76">
        <v>48.83</v>
      </c>
      <c r="O24" s="76"/>
      <c r="P24" s="68"/>
      <c r="Q24" s="69">
        <f t="shared" si="2"/>
        <v>0</v>
      </c>
      <c r="R24" s="70">
        <f t="shared" si="3"/>
        <v>2278.83</v>
      </c>
      <c r="S24" s="110">
        <f t="shared" si="4"/>
        <v>27345.96</v>
      </c>
      <c r="T24" s="71"/>
    </row>
    <row r="25" spans="2:20" ht="27.95" customHeight="1">
      <c r="B25" s="1">
        <v>15</v>
      </c>
      <c r="C25" s="2" t="s">
        <v>117</v>
      </c>
      <c r="D25" s="2" t="s">
        <v>118</v>
      </c>
      <c r="E25" s="2" t="s">
        <v>119</v>
      </c>
      <c r="F25" s="2" t="s">
        <v>120</v>
      </c>
      <c r="G25" s="66"/>
      <c r="H25" s="66">
        <v>15</v>
      </c>
      <c r="I25" s="85">
        <f t="shared" si="5"/>
        <v>257</v>
      </c>
      <c r="J25" s="334">
        <f>7414/2</f>
        <v>3707</v>
      </c>
      <c r="K25" s="76">
        <v>3855</v>
      </c>
      <c r="L25" s="68">
        <v>0</v>
      </c>
      <c r="M25" s="68">
        <f t="shared" si="1"/>
        <v>3855</v>
      </c>
      <c r="N25" s="68"/>
      <c r="O25" s="68"/>
      <c r="P25" s="86">
        <v>282</v>
      </c>
      <c r="Q25" s="69">
        <f t="shared" si="2"/>
        <v>282</v>
      </c>
      <c r="R25" s="70">
        <f t="shared" si="3"/>
        <v>3573</v>
      </c>
      <c r="S25" s="110">
        <f t="shared" si="4"/>
        <v>42876</v>
      </c>
      <c r="T25" s="72"/>
    </row>
    <row r="26" spans="2:20" ht="27.95" customHeight="1">
      <c r="B26" s="1">
        <v>16</v>
      </c>
      <c r="C26" s="2" t="s">
        <v>121</v>
      </c>
      <c r="D26" s="2" t="s">
        <v>115</v>
      </c>
      <c r="E26" s="2" t="s">
        <v>122</v>
      </c>
      <c r="F26" s="2" t="s">
        <v>123</v>
      </c>
      <c r="G26" s="66"/>
      <c r="H26" s="66">
        <v>15</v>
      </c>
      <c r="I26" s="85">
        <f t="shared" si="5"/>
        <v>285.06666666666666</v>
      </c>
      <c r="J26" s="334">
        <f>8224/2</f>
        <v>4112</v>
      </c>
      <c r="K26" s="76">
        <v>4276</v>
      </c>
      <c r="L26" s="68">
        <v>0</v>
      </c>
      <c r="M26" s="68">
        <f t="shared" si="1"/>
        <v>4276</v>
      </c>
      <c r="N26" s="68">
        <v>0</v>
      </c>
      <c r="O26" s="76"/>
      <c r="P26" s="68">
        <v>328</v>
      </c>
      <c r="Q26" s="69">
        <f t="shared" si="2"/>
        <v>328</v>
      </c>
      <c r="R26" s="70">
        <f t="shared" si="3"/>
        <v>3948</v>
      </c>
      <c r="S26" s="110">
        <f t="shared" si="4"/>
        <v>47376</v>
      </c>
      <c r="T26" s="72"/>
    </row>
    <row r="27" spans="2:20" ht="28.5" customHeight="1">
      <c r="B27" s="1">
        <v>17</v>
      </c>
      <c r="C27" s="2" t="s">
        <v>273</v>
      </c>
      <c r="D27" s="2" t="s">
        <v>170</v>
      </c>
      <c r="E27" s="2" t="s">
        <v>274</v>
      </c>
      <c r="F27" s="98" t="s">
        <v>256</v>
      </c>
      <c r="G27" s="66"/>
      <c r="H27" s="66">
        <v>15</v>
      </c>
      <c r="I27" s="85">
        <f t="shared" si="5"/>
        <v>290.33333333333331</v>
      </c>
      <c r="J27" s="334">
        <f>8376/2</f>
        <v>4188</v>
      </c>
      <c r="K27" s="76">
        <v>4355</v>
      </c>
      <c r="L27" s="68">
        <v>0</v>
      </c>
      <c r="M27" s="68">
        <f t="shared" si="1"/>
        <v>4355</v>
      </c>
      <c r="N27" s="68">
        <v>0</v>
      </c>
      <c r="O27" s="76"/>
      <c r="P27" s="68">
        <v>337</v>
      </c>
      <c r="Q27" s="69">
        <f t="shared" si="2"/>
        <v>337</v>
      </c>
      <c r="R27" s="70">
        <f t="shared" si="3"/>
        <v>4018</v>
      </c>
      <c r="S27" s="110">
        <f t="shared" si="4"/>
        <v>48216</v>
      </c>
      <c r="T27" s="72"/>
    </row>
    <row r="28" spans="2:20" ht="27.95" customHeight="1">
      <c r="B28" s="1">
        <v>18</v>
      </c>
      <c r="C28" s="2" t="s">
        <v>125</v>
      </c>
      <c r="D28" s="2" t="s">
        <v>126</v>
      </c>
      <c r="E28" s="2" t="s">
        <v>127</v>
      </c>
      <c r="F28" s="2" t="s">
        <v>128</v>
      </c>
      <c r="G28" s="66"/>
      <c r="H28" s="66">
        <v>15</v>
      </c>
      <c r="I28" s="85">
        <f t="shared" si="5"/>
        <v>247.13333333333333</v>
      </c>
      <c r="J28" s="334">
        <f>7128/2</f>
        <v>3564</v>
      </c>
      <c r="K28" s="76">
        <v>3707</v>
      </c>
      <c r="L28" s="68">
        <v>0</v>
      </c>
      <c r="M28" s="68">
        <f t="shared" si="1"/>
        <v>3707</v>
      </c>
      <c r="N28" s="68">
        <v>0</v>
      </c>
      <c r="O28" s="68"/>
      <c r="P28" s="68">
        <v>266</v>
      </c>
      <c r="Q28" s="69">
        <f t="shared" si="2"/>
        <v>266</v>
      </c>
      <c r="R28" s="70">
        <f t="shared" si="3"/>
        <v>3441</v>
      </c>
      <c r="S28" s="110">
        <f t="shared" si="4"/>
        <v>41292</v>
      </c>
      <c r="T28" s="72"/>
    </row>
    <row r="29" spans="2:20" ht="27.95" customHeight="1">
      <c r="B29" s="1">
        <v>19</v>
      </c>
      <c r="C29" s="2" t="s">
        <v>129</v>
      </c>
      <c r="D29" s="2" t="s">
        <v>130</v>
      </c>
      <c r="E29" s="2" t="s">
        <v>131</v>
      </c>
      <c r="F29" s="2" t="s">
        <v>132</v>
      </c>
      <c r="G29" s="66"/>
      <c r="H29" s="66">
        <v>15</v>
      </c>
      <c r="I29" s="85">
        <f t="shared" si="5"/>
        <v>144.93333333333334</v>
      </c>
      <c r="J29" s="334">
        <f>4180/2</f>
        <v>2090</v>
      </c>
      <c r="K29" s="76">
        <v>2174</v>
      </c>
      <c r="L29" s="68">
        <v>0</v>
      </c>
      <c r="M29" s="68">
        <f t="shared" si="1"/>
        <v>2174</v>
      </c>
      <c r="N29" s="68">
        <v>66.53</v>
      </c>
      <c r="O29" s="68"/>
      <c r="P29" s="68"/>
      <c r="Q29" s="69">
        <f t="shared" si="2"/>
        <v>0</v>
      </c>
      <c r="R29" s="70">
        <f t="shared" si="3"/>
        <v>2240.5300000000002</v>
      </c>
      <c r="S29" s="110">
        <f t="shared" si="4"/>
        <v>26886.36</v>
      </c>
      <c r="T29" s="72"/>
    </row>
    <row r="30" spans="2:20" ht="27.95" customHeight="1">
      <c r="B30" s="1">
        <v>20</v>
      </c>
      <c r="C30" s="2" t="s">
        <v>124</v>
      </c>
      <c r="D30" s="2" t="s">
        <v>133</v>
      </c>
      <c r="E30" s="2" t="s">
        <v>134</v>
      </c>
      <c r="F30" s="2" t="s">
        <v>135</v>
      </c>
      <c r="G30" s="66"/>
      <c r="H30" s="66">
        <v>15</v>
      </c>
      <c r="I30" s="85">
        <f t="shared" si="5"/>
        <v>198.53333333333333</v>
      </c>
      <c r="J30" s="334">
        <f>5726/2</f>
        <v>2863</v>
      </c>
      <c r="K30" s="76">
        <v>2978</v>
      </c>
      <c r="L30" s="68">
        <v>0</v>
      </c>
      <c r="M30" s="68">
        <f t="shared" si="1"/>
        <v>2978</v>
      </c>
      <c r="N30" s="68">
        <v>0</v>
      </c>
      <c r="O30" s="68"/>
      <c r="P30" s="68">
        <v>40</v>
      </c>
      <c r="Q30" s="69">
        <f t="shared" si="2"/>
        <v>40</v>
      </c>
      <c r="R30" s="70">
        <f t="shared" si="3"/>
        <v>2938</v>
      </c>
      <c r="S30" s="110">
        <f t="shared" si="4"/>
        <v>35256</v>
      </c>
      <c r="T30" s="72"/>
    </row>
    <row r="31" spans="2:20" ht="27.95" customHeight="1">
      <c r="B31" s="8">
        <v>21</v>
      </c>
      <c r="C31" s="2" t="s">
        <v>103</v>
      </c>
      <c r="D31" s="2" t="s">
        <v>136</v>
      </c>
      <c r="E31" s="2" t="s">
        <v>137</v>
      </c>
      <c r="F31" s="2" t="s">
        <v>102</v>
      </c>
      <c r="G31" s="74"/>
      <c r="H31" s="74">
        <v>15</v>
      </c>
      <c r="I31" s="547">
        <f t="shared" si="5"/>
        <v>238</v>
      </c>
      <c r="J31" s="548">
        <f>6866/2</f>
        <v>3433</v>
      </c>
      <c r="K31" s="76">
        <v>3570</v>
      </c>
      <c r="L31" s="76">
        <v>0</v>
      </c>
      <c r="M31" s="76">
        <f t="shared" si="1"/>
        <v>3570</v>
      </c>
      <c r="N31" s="76">
        <v>0</v>
      </c>
      <c r="O31" s="76"/>
      <c r="P31" s="76">
        <v>143</v>
      </c>
      <c r="Q31" s="76">
        <f t="shared" si="2"/>
        <v>143</v>
      </c>
      <c r="R31" s="110">
        <f t="shared" si="3"/>
        <v>3427</v>
      </c>
      <c r="S31" s="110">
        <f t="shared" si="4"/>
        <v>41124</v>
      </c>
      <c r="T31" s="549"/>
    </row>
    <row r="32" spans="2:20" ht="27.95" customHeight="1">
      <c r="B32" s="8">
        <v>22</v>
      </c>
      <c r="C32" s="2" t="s">
        <v>138</v>
      </c>
      <c r="D32" s="2" t="s">
        <v>139</v>
      </c>
      <c r="E32" s="2" t="s">
        <v>140</v>
      </c>
      <c r="F32" s="2" t="s">
        <v>75</v>
      </c>
      <c r="G32" s="74"/>
      <c r="H32" s="74">
        <v>15</v>
      </c>
      <c r="I32" s="547">
        <f t="shared" si="5"/>
        <v>233</v>
      </c>
      <c r="J32" s="548">
        <f>6722/2</f>
        <v>3361</v>
      </c>
      <c r="K32" s="76">
        <v>3495</v>
      </c>
      <c r="L32" s="76">
        <v>0</v>
      </c>
      <c r="M32" s="76">
        <f t="shared" si="1"/>
        <v>3495</v>
      </c>
      <c r="N32" s="76">
        <v>0</v>
      </c>
      <c r="O32" s="76"/>
      <c r="P32" s="76">
        <v>116</v>
      </c>
      <c r="Q32" s="76">
        <f t="shared" si="2"/>
        <v>116</v>
      </c>
      <c r="R32" s="110">
        <f t="shared" si="3"/>
        <v>3379</v>
      </c>
      <c r="S32" s="110">
        <f t="shared" si="4"/>
        <v>40548</v>
      </c>
      <c r="T32" s="549"/>
    </row>
    <row r="33" spans="1:20" ht="27.95" customHeight="1">
      <c r="B33" s="1">
        <v>23</v>
      </c>
      <c r="C33" s="3" t="s">
        <v>141</v>
      </c>
      <c r="D33" s="3" t="s">
        <v>142</v>
      </c>
      <c r="E33" s="3" t="s">
        <v>143</v>
      </c>
      <c r="F33" s="3" t="s">
        <v>109</v>
      </c>
      <c r="G33" s="66"/>
      <c r="H33" s="66">
        <v>15</v>
      </c>
      <c r="I33" s="87">
        <f t="shared" si="5"/>
        <v>320.39999999999998</v>
      </c>
      <c r="J33" s="335">
        <f>9242/2</f>
        <v>4621</v>
      </c>
      <c r="K33" s="117">
        <v>4806</v>
      </c>
      <c r="L33" s="84">
        <v>0</v>
      </c>
      <c r="M33" s="68">
        <f t="shared" si="1"/>
        <v>4806</v>
      </c>
      <c r="N33" s="83">
        <v>0</v>
      </c>
      <c r="O33" s="83"/>
      <c r="P33" s="84">
        <v>386</v>
      </c>
      <c r="Q33" s="69">
        <f t="shared" si="2"/>
        <v>386</v>
      </c>
      <c r="R33" s="70">
        <f t="shared" si="3"/>
        <v>4420</v>
      </c>
      <c r="S33" s="110">
        <f t="shared" si="4"/>
        <v>53040</v>
      </c>
      <c r="T33" s="72"/>
    </row>
    <row r="34" spans="1:20" ht="27.95" customHeight="1" thickBot="1">
      <c r="B34" s="4"/>
      <c r="C34" s="5"/>
      <c r="D34" s="5"/>
      <c r="E34" s="5"/>
      <c r="F34" s="5"/>
      <c r="G34" s="65"/>
      <c r="H34" s="81"/>
      <c r="I34" s="85">
        <f t="shared" si="5"/>
        <v>0</v>
      </c>
      <c r="J34" s="334">
        <f>14004/2</f>
        <v>7002</v>
      </c>
      <c r="K34" s="84"/>
      <c r="L34" s="84">
        <v>0</v>
      </c>
      <c r="M34" s="68"/>
      <c r="N34" s="84">
        <v>0</v>
      </c>
      <c r="O34" s="84"/>
      <c r="P34" s="84"/>
      <c r="Q34" s="69">
        <f t="shared" si="2"/>
        <v>0</v>
      </c>
      <c r="R34" s="70">
        <f t="shared" si="3"/>
        <v>0</v>
      </c>
      <c r="S34" s="110">
        <f t="shared" si="4"/>
        <v>0</v>
      </c>
      <c r="T34" s="71"/>
    </row>
    <row r="35" spans="1:20" ht="18.75" customHeight="1" thickBot="1">
      <c r="B35" s="695" t="s">
        <v>52</v>
      </c>
      <c r="C35" s="696"/>
      <c r="D35" s="696"/>
      <c r="E35" s="696"/>
      <c r="F35" s="697"/>
      <c r="G35" s="532"/>
      <c r="H35" s="533"/>
      <c r="I35" s="534"/>
      <c r="J35" s="535"/>
      <c r="K35" s="533">
        <f t="shared" ref="K35:Q35" si="6">SUM(K11:K34)</f>
        <v>84081</v>
      </c>
      <c r="L35" s="533">
        <f t="shared" si="6"/>
        <v>0</v>
      </c>
      <c r="M35" s="533">
        <f t="shared" si="6"/>
        <v>84081</v>
      </c>
      <c r="N35" s="533">
        <f t="shared" si="6"/>
        <v>421.13</v>
      </c>
      <c r="O35" s="533">
        <f>SUM(O11:O34)</f>
        <v>0</v>
      </c>
      <c r="P35" s="533">
        <f t="shared" si="6"/>
        <v>5159</v>
      </c>
      <c r="Q35" s="533">
        <f t="shared" si="6"/>
        <v>5159</v>
      </c>
      <c r="R35" s="482">
        <f>SUM(R11:R34)</f>
        <v>79343.13</v>
      </c>
      <c r="S35" s="607">
        <f>SUM(S11:S34)</f>
        <v>952117.56</v>
      </c>
      <c r="T35" s="62"/>
    </row>
    <row r="36" spans="1:20" ht="13.5" thickBot="1">
      <c r="B36" s="62"/>
      <c r="C36" s="62"/>
      <c r="D36" s="62"/>
      <c r="E36" s="62"/>
      <c r="F36" s="62"/>
      <c r="G36" s="62"/>
      <c r="H36" s="62"/>
      <c r="I36" s="88"/>
      <c r="J36" s="330"/>
      <c r="K36" s="63"/>
      <c r="L36" s="63"/>
      <c r="M36" s="63"/>
      <c r="N36" s="63"/>
      <c r="O36" s="63"/>
      <c r="P36" s="63"/>
      <c r="Q36" s="63"/>
      <c r="R36" s="89" t="s">
        <v>45</v>
      </c>
      <c r="S36" s="89"/>
      <c r="T36" s="90"/>
    </row>
    <row r="37" spans="1:20" ht="62.25" customHeight="1">
      <c r="B37" s="92"/>
      <c r="C37" s="95"/>
      <c r="D37" s="92"/>
      <c r="E37" s="92"/>
      <c r="F37" s="91"/>
      <c r="G37" s="91"/>
      <c r="H37" s="91"/>
      <c r="I37" s="91"/>
      <c r="J37" s="336"/>
      <c r="K37" s="93"/>
      <c r="L37" s="93"/>
      <c r="M37" s="93"/>
      <c r="N37" s="93"/>
      <c r="O37" s="93"/>
      <c r="P37" s="93"/>
      <c r="Q37" s="93"/>
      <c r="R37" s="93"/>
      <c r="S37" s="93"/>
      <c r="T37" s="62"/>
    </row>
    <row r="38" spans="1:20" ht="51.75" customHeight="1">
      <c r="A38" s="62"/>
      <c r="B38" s="652" t="s">
        <v>715</v>
      </c>
      <c r="C38" s="652"/>
      <c r="D38" s="652"/>
      <c r="E38" s="652"/>
      <c r="F38" s="62"/>
      <c r="G38" s="62"/>
      <c r="H38" s="62"/>
      <c r="I38" s="62"/>
      <c r="J38" s="330"/>
      <c r="K38" s="63"/>
      <c r="L38" s="63"/>
      <c r="M38" s="63"/>
      <c r="N38" s="63"/>
      <c r="O38" s="387"/>
      <c r="P38" s="652" t="s">
        <v>616</v>
      </c>
      <c r="Q38" s="652"/>
      <c r="R38" s="652"/>
      <c r="S38" s="387"/>
      <c r="T38" s="62"/>
    </row>
    <row r="39" spans="1:20" ht="15" customHeight="1">
      <c r="A39" s="62"/>
      <c r="B39" s="632" t="s">
        <v>615</v>
      </c>
      <c r="C39" s="632"/>
      <c r="D39" s="632"/>
      <c r="E39" s="632"/>
      <c r="F39" s="632" t="s">
        <v>145</v>
      </c>
      <c r="G39" s="632"/>
      <c r="H39" s="632"/>
      <c r="I39" s="632"/>
      <c r="J39" s="632"/>
      <c r="K39" s="632"/>
      <c r="L39" s="632"/>
      <c r="M39" s="632"/>
      <c r="N39" s="6"/>
      <c r="O39" s="6"/>
      <c r="P39" s="632" t="s">
        <v>30</v>
      </c>
      <c r="Q39" s="632"/>
      <c r="R39" s="632"/>
      <c r="S39" s="387"/>
      <c r="T39" s="62"/>
    </row>
    <row r="40" spans="1:20">
      <c r="A40" s="62"/>
      <c r="B40" s="62"/>
      <c r="C40" s="62"/>
      <c r="D40" s="62"/>
      <c r="E40" s="62"/>
      <c r="F40" s="62"/>
      <c r="G40" s="62"/>
      <c r="H40" s="62"/>
      <c r="I40" s="62"/>
      <c r="J40" s="330"/>
      <c r="K40" s="63"/>
      <c r="L40" s="63"/>
      <c r="M40" s="63"/>
      <c r="N40" s="63"/>
      <c r="O40" s="63"/>
      <c r="P40" s="63"/>
      <c r="Q40" s="63"/>
      <c r="R40" s="63"/>
      <c r="S40" s="63"/>
      <c r="T40" s="62"/>
    </row>
    <row r="42" spans="1:20">
      <c r="D42" s="47" t="s">
        <v>146</v>
      </c>
      <c r="K42" s="94"/>
      <c r="L42" s="94"/>
      <c r="M42" s="94"/>
      <c r="N42" s="94"/>
      <c r="O42" s="94"/>
      <c r="P42" s="94"/>
      <c r="Q42" s="94"/>
      <c r="R42" s="94"/>
      <c r="S42" s="94"/>
    </row>
    <row r="43" spans="1:20">
      <c r="D43" s="47" t="s">
        <v>147</v>
      </c>
    </row>
    <row r="44" spans="1:20">
      <c r="K44" s="60"/>
      <c r="R44" s="48">
        <f>M35+N35-Q35</f>
        <v>79343.13</v>
      </c>
    </row>
    <row r="45" spans="1:20">
      <c r="M45" s="56"/>
      <c r="R45" s="48">
        <f>R35-R44</f>
        <v>0</v>
      </c>
    </row>
    <row r="52" spans="6:14">
      <c r="F52" s="632"/>
      <c r="G52" s="632"/>
      <c r="H52" s="632"/>
      <c r="I52" s="632"/>
      <c r="J52" s="632"/>
      <c r="K52" s="632"/>
      <c r="L52" s="632"/>
      <c r="M52" s="632"/>
      <c r="N52" s="632"/>
    </row>
  </sheetData>
  <mergeCells count="13">
    <mergeCell ref="B3:T3"/>
    <mergeCell ref="B4:T4"/>
    <mergeCell ref="B39:E39"/>
    <mergeCell ref="P39:R39"/>
    <mergeCell ref="B38:E38"/>
    <mergeCell ref="P38:R38"/>
    <mergeCell ref="T7:T9"/>
    <mergeCell ref="B35:F35"/>
    <mergeCell ref="F52:N52"/>
    <mergeCell ref="K7:O7"/>
    <mergeCell ref="F39:M39"/>
    <mergeCell ref="F7:H7"/>
    <mergeCell ref="P7:Q7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"/>
  <sheetViews>
    <sheetView workbookViewId="0">
      <selection activeCell="C18" sqref="C18"/>
    </sheetView>
  </sheetViews>
  <sheetFormatPr baseColWidth="10" defaultRowHeight="15"/>
  <cols>
    <col min="1" max="1" width="37.5703125" customWidth="1"/>
    <col min="2" max="2" width="26.28515625" customWidth="1"/>
    <col min="3" max="3" width="17.28515625" customWidth="1"/>
    <col min="4" max="7" width="0" hidden="1" customWidth="1"/>
  </cols>
  <sheetData>
    <row r="2" spans="1:7">
      <c r="A2" s="699" t="s">
        <v>666</v>
      </c>
      <c r="B2" s="699"/>
    </row>
    <row r="3" spans="1:7" ht="7.5" customHeight="1">
      <c r="A3" s="236"/>
      <c r="B3" s="236"/>
    </row>
    <row r="4" spans="1:7">
      <c r="A4" s="698" t="s">
        <v>526</v>
      </c>
      <c r="B4" s="698"/>
    </row>
    <row r="6" spans="1:7" ht="30">
      <c r="A6" s="162" t="s">
        <v>269</v>
      </c>
      <c r="B6" s="162" t="s">
        <v>270</v>
      </c>
      <c r="C6" s="162" t="s">
        <v>271</v>
      </c>
      <c r="D6" s="414" t="s">
        <v>671</v>
      </c>
      <c r="E6" s="226" t="s">
        <v>667</v>
      </c>
      <c r="F6" s="226" t="s">
        <v>668</v>
      </c>
      <c r="G6" s="413" t="s">
        <v>670</v>
      </c>
    </row>
    <row r="7" spans="1:7">
      <c r="A7" s="162"/>
      <c r="B7" s="162"/>
      <c r="C7" s="163"/>
    </row>
    <row r="8" spans="1:7">
      <c r="A8" s="162" t="s">
        <v>548</v>
      </c>
      <c r="B8" s="162" t="s">
        <v>287</v>
      </c>
      <c r="C8" s="163">
        <v>1312.5</v>
      </c>
      <c r="D8" s="411">
        <f>C8*4%</f>
        <v>52.5</v>
      </c>
      <c r="E8" s="411">
        <f>C8+D8</f>
        <v>1365</v>
      </c>
      <c r="F8" s="162">
        <v>200</v>
      </c>
      <c r="G8" s="412">
        <f>E8+F8</f>
        <v>1565</v>
      </c>
    </row>
    <row r="9" spans="1:7">
      <c r="A9" s="162" t="s">
        <v>592</v>
      </c>
      <c r="B9" s="162" t="s">
        <v>593</v>
      </c>
      <c r="C9" s="163">
        <v>1902.6</v>
      </c>
      <c r="D9" s="411">
        <f t="shared" ref="D9:D10" si="0">C9*4%</f>
        <v>76.103999999999999</v>
      </c>
      <c r="E9" s="411">
        <f t="shared" ref="E9:E10" si="1">C9+D9</f>
        <v>1978.704</v>
      </c>
      <c r="F9" s="162"/>
      <c r="G9" s="412">
        <f t="shared" ref="G9:G10" si="2">E9+F9</f>
        <v>1978.704</v>
      </c>
    </row>
    <row r="10" spans="1:7">
      <c r="A10" s="162" t="s">
        <v>629</v>
      </c>
      <c r="B10" s="162" t="s">
        <v>669</v>
      </c>
      <c r="C10" s="163">
        <v>1800</v>
      </c>
      <c r="D10" s="411">
        <f t="shared" si="0"/>
        <v>72</v>
      </c>
      <c r="E10" s="411">
        <f t="shared" si="1"/>
        <v>1872</v>
      </c>
      <c r="F10" s="162"/>
      <c r="G10" s="412">
        <f t="shared" si="2"/>
        <v>1872</v>
      </c>
    </row>
    <row r="11" spans="1:7">
      <c r="C11" s="165">
        <f>SUM(C7:C10)</f>
        <v>5015.1000000000004</v>
      </c>
      <c r="G11" s="213">
        <f>SUM(G8:G10)</f>
        <v>5415.7039999999997</v>
      </c>
    </row>
    <row r="16" spans="1:7" ht="15.75">
      <c r="A16" s="415"/>
    </row>
    <row r="17" spans="1:1" ht="15.75">
      <c r="A17" s="415"/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21"/>
  <sheetViews>
    <sheetView topLeftCell="D1" workbookViewId="0">
      <selection activeCell="P11" sqref="P11"/>
    </sheetView>
  </sheetViews>
  <sheetFormatPr baseColWidth="10" defaultColWidth="13.42578125" defaultRowHeight="15"/>
  <cols>
    <col min="1" max="1" width="7" style="148" customWidth="1"/>
    <col min="2" max="2" width="12.28515625" style="148" customWidth="1"/>
    <col min="3" max="3" width="28.140625" style="148" customWidth="1"/>
    <col min="4" max="4" width="16.42578125" style="148" customWidth="1"/>
    <col min="5" max="5" width="0.28515625" style="148" customWidth="1"/>
    <col min="6" max="6" width="13.42578125" style="148"/>
    <col min="7" max="7" width="15.85546875" style="148" customWidth="1"/>
    <col min="8" max="8" width="9.28515625" style="148" bestFit="1" customWidth="1"/>
    <col min="9" max="9" width="13.42578125" style="148"/>
    <col min="10" max="10" width="10.140625" style="148" bestFit="1" customWidth="1"/>
    <col min="11" max="11" width="10.140625" style="148" customWidth="1"/>
    <col min="12" max="12" width="28.5703125" style="148" customWidth="1"/>
    <col min="13" max="16384" width="13.42578125" style="148"/>
  </cols>
  <sheetData>
    <row r="1" spans="2:12">
      <c r="B1" s="35"/>
      <c r="C1" s="623"/>
      <c r="D1" s="624"/>
      <c r="E1" s="624"/>
      <c r="F1" s="624"/>
      <c r="G1" s="624"/>
      <c r="H1" s="23"/>
      <c r="I1" s="23"/>
      <c r="J1" s="23"/>
      <c r="K1" s="23"/>
      <c r="L1" s="23"/>
    </row>
    <row r="2" spans="2:12" ht="19.5">
      <c r="B2" s="625" t="s">
        <v>205</v>
      </c>
      <c r="C2" s="626"/>
      <c r="D2" s="626"/>
      <c r="E2" s="626"/>
      <c r="F2" s="626"/>
      <c r="G2" s="626"/>
      <c r="H2" s="626"/>
      <c r="I2" s="626"/>
      <c r="J2" s="626"/>
      <c r="K2" s="626"/>
      <c r="L2" s="627"/>
    </row>
    <row r="3" spans="2:12">
      <c r="B3" s="628" t="s">
        <v>731</v>
      </c>
      <c r="C3" s="629"/>
      <c r="D3" s="629"/>
      <c r="E3" s="629"/>
      <c r="F3" s="629"/>
      <c r="G3" s="629"/>
      <c r="H3" s="629"/>
      <c r="I3" s="629"/>
      <c r="J3" s="629"/>
      <c r="K3" s="629"/>
      <c r="L3" s="630"/>
    </row>
    <row r="4" spans="2:12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15"/>
      <c r="L4" s="26"/>
    </row>
    <row r="5" spans="2:12">
      <c r="B5" s="37"/>
      <c r="C5" s="38"/>
      <c r="D5" s="38"/>
      <c r="E5" s="38"/>
      <c r="F5" s="38"/>
      <c r="G5" s="38"/>
      <c r="H5" s="38"/>
      <c r="I5" s="38"/>
      <c r="J5" s="38"/>
      <c r="K5" s="38"/>
      <c r="L5" s="27"/>
    </row>
    <row r="6" spans="2:12" ht="36.75" customHeight="1">
      <c r="B6" s="470" t="s">
        <v>1</v>
      </c>
      <c r="C6" s="419" t="s">
        <v>2</v>
      </c>
      <c r="D6" s="419" t="s">
        <v>218</v>
      </c>
      <c r="E6" s="419" t="s">
        <v>4</v>
      </c>
      <c r="F6" s="419" t="s">
        <v>5</v>
      </c>
      <c r="G6" s="419" t="s">
        <v>43</v>
      </c>
      <c r="H6" s="419" t="s">
        <v>42</v>
      </c>
      <c r="I6" s="471" t="s">
        <v>6</v>
      </c>
      <c r="J6" s="421" t="s">
        <v>7</v>
      </c>
      <c r="K6" s="472" t="s">
        <v>750</v>
      </c>
      <c r="L6" s="472" t="s">
        <v>29</v>
      </c>
    </row>
    <row r="7" spans="2:12">
      <c r="B7" s="42" t="s">
        <v>654</v>
      </c>
      <c r="C7" s="15"/>
      <c r="D7" s="15"/>
      <c r="E7" s="15"/>
      <c r="F7" s="15"/>
      <c r="G7" s="15"/>
      <c r="H7" s="15"/>
      <c r="I7" s="15"/>
      <c r="J7" s="15"/>
      <c r="K7" s="15"/>
      <c r="L7" s="26"/>
    </row>
    <row r="8" spans="2:12" ht="39.950000000000003" customHeight="1">
      <c r="B8" s="151" t="s">
        <v>258</v>
      </c>
      <c r="C8" s="3" t="s">
        <v>551</v>
      </c>
      <c r="D8" s="402" t="s">
        <v>243</v>
      </c>
      <c r="E8" s="9">
        <v>0</v>
      </c>
      <c r="F8" s="9">
        <v>3728</v>
      </c>
      <c r="G8" s="9">
        <v>0</v>
      </c>
      <c r="H8" s="9"/>
      <c r="I8" s="9">
        <f>H8</f>
        <v>0</v>
      </c>
      <c r="J8" s="9">
        <f>F8+G8-H8</f>
        <v>3728</v>
      </c>
      <c r="K8" s="9">
        <f>J8*12</f>
        <v>44736</v>
      </c>
      <c r="L8" s="3"/>
    </row>
    <row r="9" spans="2:12" ht="39.950000000000003" customHeight="1">
      <c r="B9" s="151" t="s">
        <v>259</v>
      </c>
      <c r="C9" s="3" t="s">
        <v>248</v>
      </c>
      <c r="D9" s="9" t="s">
        <v>237</v>
      </c>
      <c r="E9" s="9">
        <v>0</v>
      </c>
      <c r="F9" s="9">
        <v>2470</v>
      </c>
      <c r="G9" s="9">
        <v>0</v>
      </c>
      <c r="H9" s="9"/>
      <c r="I9" s="9">
        <f t="shared" ref="I9:I12" si="0">H9</f>
        <v>0</v>
      </c>
      <c r="J9" s="9">
        <f t="shared" ref="J9" si="1">F9+G9-H9</f>
        <v>2470</v>
      </c>
      <c r="K9" s="9">
        <f>J9*12</f>
        <v>29640</v>
      </c>
      <c r="L9" s="3"/>
    </row>
    <row r="10" spans="2:12" ht="15" customHeight="1">
      <c r="B10" s="403"/>
      <c r="C10" s="701" t="s">
        <v>656</v>
      </c>
      <c r="D10" s="701"/>
      <c r="E10" s="407"/>
      <c r="F10" s="407">
        <f>SUM(F8:F9)</f>
        <v>6198</v>
      </c>
      <c r="G10" s="407">
        <f>SUM(G8:G9)</f>
        <v>0</v>
      </c>
      <c r="H10" s="407"/>
      <c r="I10" s="407">
        <f>SUM(I8:I9)</f>
        <v>0</v>
      </c>
      <c r="J10" s="407">
        <f>SUM(J8:J9)</f>
        <v>6198</v>
      </c>
      <c r="K10" s="603"/>
      <c r="L10" s="537"/>
    </row>
    <row r="11" spans="2:12" ht="15" customHeight="1">
      <c r="B11" s="700" t="s">
        <v>655</v>
      </c>
      <c r="C11" s="700"/>
      <c r="D11" s="247"/>
      <c r="E11" s="247"/>
      <c r="F11" s="247"/>
      <c r="G11" s="247"/>
      <c r="H11" s="247"/>
      <c r="I11" s="247"/>
      <c r="J11" s="247"/>
      <c r="K11" s="247"/>
      <c r="L11" s="15"/>
    </row>
    <row r="12" spans="2:12" s="348" customFormat="1" ht="39.950000000000003" customHeight="1">
      <c r="B12" s="345" t="s">
        <v>260</v>
      </c>
      <c r="C12" s="346" t="s">
        <v>409</v>
      </c>
      <c r="D12" s="290" t="s">
        <v>239</v>
      </c>
      <c r="E12" s="290">
        <v>0</v>
      </c>
      <c r="F12" s="290">
        <v>2098</v>
      </c>
      <c r="G12" s="290">
        <v>0</v>
      </c>
      <c r="H12" s="290"/>
      <c r="I12" s="290">
        <f t="shared" si="0"/>
        <v>0</v>
      </c>
      <c r="J12" s="290">
        <f>F12</f>
        <v>2098</v>
      </c>
      <c r="K12" s="9">
        <f t="shared" ref="K12:K13" si="2">J12*12</f>
        <v>25176</v>
      </c>
      <c r="L12" s="346"/>
    </row>
    <row r="13" spans="2:12" ht="39.950000000000003" customHeight="1">
      <c r="B13" s="151" t="s">
        <v>261</v>
      </c>
      <c r="C13" s="3" t="s">
        <v>657</v>
      </c>
      <c r="D13" s="410" t="s">
        <v>658</v>
      </c>
      <c r="E13" s="9"/>
      <c r="F13" s="9">
        <v>2881</v>
      </c>
      <c r="G13" s="9">
        <v>0</v>
      </c>
      <c r="H13" s="9"/>
      <c r="I13" s="9">
        <v>0</v>
      </c>
      <c r="J13" s="9">
        <f>F13</f>
        <v>2881</v>
      </c>
      <c r="K13" s="9">
        <f t="shared" si="2"/>
        <v>34572</v>
      </c>
      <c r="L13" s="3"/>
    </row>
    <row r="14" spans="2:12" s="348" customFormat="1" ht="15" customHeight="1">
      <c r="B14" s="404"/>
      <c r="C14" s="702" t="s">
        <v>656</v>
      </c>
      <c r="D14" s="702"/>
      <c r="E14" s="406"/>
      <c r="F14" s="406">
        <f>SUM(F12:F13)</f>
        <v>4979</v>
      </c>
      <c r="G14" s="406">
        <f>SUM(G12)</f>
        <v>0</v>
      </c>
      <c r="H14" s="406"/>
      <c r="I14" s="406">
        <f>SUM(I12)</f>
        <v>0</v>
      </c>
      <c r="J14" s="406">
        <f>SUM(J12:J13)</f>
        <v>4979</v>
      </c>
      <c r="K14" s="604"/>
      <c r="L14" s="536"/>
    </row>
    <row r="15" spans="2:12" s="348" customFormat="1" ht="15" customHeight="1">
      <c r="B15" s="404"/>
      <c r="C15" s="120"/>
      <c r="D15" s="405"/>
      <c r="E15" s="405"/>
      <c r="F15" s="405"/>
      <c r="G15" s="405"/>
      <c r="H15" s="405"/>
      <c r="I15" s="405"/>
      <c r="J15" s="405"/>
      <c r="K15" s="405"/>
      <c r="L15" s="120"/>
    </row>
    <row r="16" spans="2:12" ht="15.75" thickBot="1">
      <c r="B16" s="156"/>
      <c r="C16" s="476" t="s">
        <v>44</v>
      </c>
      <c r="D16" s="477"/>
      <c r="E16" s="477">
        <f>SUM(E8:E12)</f>
        <v>0</v>
      </c>
      <c r="F16" s="477">
        <f>SUM(F10+F14)</f>
        <v>11177</v>
      </c>
      <c r="G16" s="477">
        <f>SUM(G8:G12)</f>
        <v>0</v>
      </c>
      <c r="H16" s="477">
        <f>SUM(H8:H12)</f>
        <v>0</v>
      </c>
      <c r="I16" s="477">
        <f>SUM(I8:I12)</f>
        <v>0</v>
      </c>
      <c r="J16" s="206">
        <f>SUM(J10+J14)</f>
        <v>11177</v>
      </c>
      <c r="K16" s="602"/>
      <c r="L16" s="21"/>
    </row>
    <row r="17" spans="2:12" ht="15.75" thickTop="1">
      <c r="J17" s="157" t="s">
        <v>45</v>
      </c>
      <c r="K17" s="157"/>
    </row>
    <row r="19" spans="2:12">
      <c r="E19" s="161"/>
      <c r="F19" s="161"/>
      <c r="G19" s="161"/>
      <c r="H19" s="161"/>
      <c r="J19" s="161"/>
      <c r="K19" s="161"/>
      <c r="L19" s="161"/>
    </row>
    <row r="20" spans="2:12">
      <c r="B20" s="631" t="s">
        <v>715</v>
      </c>
      <c r="C20" s="631"/>
      <c r="E20" s="632" t="s">
        <v>693</v>
      </c>
      <c r="F20" s="632"/>
      <c r="G20" s="632"/>
      <c r="H20" s="632"/>
      <c r="J20" s="631" t="s">
        <v>653</v>
      </c>
      <c r="K20" s="631"/>
      <c r="L20" s="631"/>
    </row>
    <row r="21" spans="2:12">
      <c r="B21" s="632" t="s">
        <v>144</v>
      </c>
      <c r="C21" s="632"/>
      <c r="E21" s="632" t="s">
        <v>145</v>
      </c>
      <c r="F21" s="632"/>
      <c r="G21" s="632"/>
      <c r="H21" s="632"/>
      <c r="J21" s="632" t="s">
        <v>30</v>
      </c>
      <c r="K21" s="632"/>
      <c r="L21" s="632"/>
    </row>
  </sheetData>
  <mergeCells count="12">
    <mergeCell ref="C1:G1"/>
    <mergeCell ref="B2:L2"/>
    <mergeCell ref="B3:L3"/>
    <mergeCell ref="B20:C20"/>
    <mergeCell ref="E20:H20"/>
    <mergeCell ref="J20:L20"/>
    <mergeCell ref="B21:C21"/>
    <mergeCell ref="E21:H21"/>
    <mergeCell ref="J21:L21"/>
    <mergeCell ref="B11:C11"/>
    <mergeCell ref="C10:D10"/>
    <mergeCell ref="C14:D14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19"/>
  <sheetViews>
    <sheetView topLeftCell="D1" workbookViewId="0">
      <selection activeCell="S9" sqref="S9"/>
    </sheetView>
  </sheetViews>
  <sheetFormatPr baseColWidth="10" defaultColWidth="13.42578125" defaultRowHeight="15"/>
  <cols>
    <col min="1" max="1" width="7" style="148" customWidth="1"/>
    <col min="2" max="2" width="12.28515625" style="148" customWidth="1"/>
    <col min="3" max="3" width="28.140625" style="148" customWidth="1"/>
    <col min="4" max="4" width="9.28515625" style="148" customWidth="1"/>
    <col min="5" max="5" width="12.7109375" style="148" customWidth="1"/>
    <col min="6" max="6" width="0" style="148" hidden="1" customWidth="1"/>
    <col min="7" max="8" width="13.42578125" style="148"/>
    <col min="9" max="9" width="12.5703125" style="148" customWidth="1"/>
    <col min="10" max="10" width="13.42578125" style="148"/>
    <col min="11" max="11" width="10.140625" style="148" bestFit="1" customWidth="1"/>
    <col min="12" max="12" width="10.140625" style="148" customWidth="1"/>
    <col min="13" max="13" width="28.5703125" style="148" customWidth="1"/>
    <col min="14" max="16384" width="13.42578125" style="148"/>
  </cols>
  <sheetData>
    <row r="1" spans="2:13">
      <c r="B1" s="35"/>
      <c r="C1" s="623"/>
      <c r="D1" s="624"/>
      <c r="E1" s="624"/>
      <c r="F1" s="624"/>
      <c r="G1" s="624"/>
      <c r="H1" s="624"/>
      <c r="I1" s="23"/>
      <c r="J1" s="23"/>
      <c r="K1" s="23"/>
      <c r="L1" s="23"/>
      <c r="M1" s="23"/>
    </row>
    <row r="2" spans="2:13" ht="19.5">
      <c r="B2" s="625" t="s">
        <v>205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7"/>
    </row>
    <row r="3" spans="2:13">
      <c r="B3" s="628" t="s">
        <v>731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30"/>
    </row>
    <row r="4" spans="2:13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15"/>
      <c r="L4" s="15"/>
      <c r="M4" s="26"/>
    </row>
    <row r="5" spans="2:13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27"/>
    </row>
    <row r="6" spans="2:13" ht="33.75">
      <c r="B6" s="470" t="s">
        <v>1</v>
      </c>
      <c r="C6" s="705" t="s">
        <v>2</v>
      </c>
      <c r="D6" s="706"/>
      <c r="E6" s="419" t="s">
        <v>218</v>
      </c>
      <c r="F6" s="419" t="s">
        <v>4</v>
      </c>
      <c r="G6" s="419" t="s">
        <v>5</v>
      </c>
      <c r="H6" s="419" t="s">
        <v>43</v>
      </c>
      <c r="I6" s="419" t="s">
        <v>42</v>
      </c>
      <c r="J6" s="419" t="s">
        <v>6</v>
      </c>
      <c r="K6" s="419" t="s">
        <v>7</v>
      </c>
      <c r="L6" s="471" t="s">
        <v>750</v>
      </c>
      <c r="M6" s="420" t="s">
        <v>29</v>
      </c>
    </row>
    <row r="7" spans="2:13">
      <c r="B7" s="42" t="s">
        <v>348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49"/>
    </row>
    <row r="8" spans="2:13" ht="39.950000000000003" customHeight="1">
      <c r="B8" s="151" t="s">
        <v>258</v>
      </c>
      <c r="C8" s="619" t="s">
        <v>341</v>
      </c>
      <c r="D8" s="620"/>
      <c r="E8" s="9" t="s">
        <v>221</v>
      </c>
      <c r="F8" s="9">
        <v>0</v>
      </c>
      <c r="G8" s="9">
        <v>4046</v>
      </c>
      <c r="H8" s="9">
        <v>0</v>
      </c>
      <c r="I8" s="9"/>
      <c r="J8" s="9">
        <f>I8</f>
        <v>0</v>
      </c>
      <c r="K8" s="152">
        <f>G8+H8-I8</f>
        <v>4046</v>
      </c>
      <c r="L8" s="9">
        <f>K8*12</f>
        <v>48552</v>
      </c>
      <c r="M8" s="3"/>
    </row>
    <row r="9" spans="2:13" s="348" customFormat="1" ht="39.950000000000003" customHeight="1">
      <c r="B9" s="345" t="s">
        <v>259</v>
      </c>
      <c r="C9" s="703" t="s">
        <v>342</v>
      </c>
      <c r="D9" s="704"/>
      <c r="E9" s="290" t="s">
        <v>230</v>
      </c>
      <c r="F9" s="290">
        <v>0</v>
      </c>
      <c r="G9" s="290">
        <v>4830</v>
      </c>
      <c r="H9" s="290">
        <v>0</v>
      </c>
      <c r="I9" s="290"/>
      <c r="J9" s="290">
        <f t="shared" ref="J9:J13" si="0">I9</f>
        <v>0</v>
      </c>
      <c r="K9" s="347">
        <f>G9</f>
        <v>4830</v>
      </c>
      <c r="L9" s="9">
        <f t="shared" ref="L9:L13" si="1">K9*12</f>
        <v>57960</v>
      </c>
      <c r="M9" s="346"/>
    </row>
    <row r="10" spans="2:13" ht="39.950000000000003" customHeight="1">
      <c r="B10" s="151" t="s">
        <v>260</v>
      </c>
      <c r="C10" s="619" t="s">
        <v>343</v>
      </c>
      <c r="D10" s="620"/>
      <c r="E10" s="9" t="s">
        <v>237</v>
      </c>
      <c r="F10" s="9">
        <v>0</v>
      </c>
      <c r="G10" s="9">
        <v>2711</v>
      </c>
      <c r="H10" s="9">
        <v>0</v>
      </c>
      <c r="I10" s="9"/>
      <c r="J10" s="9">
        <f t="shared" si="0"/>
        <v>0</v>
      </c>
      <c r="K10" s="152">
        <f t="shared" ref="K10:K11" si="2">G10+H10-I10</f>
        <v>2711</v>
      </c>
      <c r="L10" s="9">
        <f t="shared" si="1"/>
        <v>32532</v>
      </c>
      <c r="M10" s="3"/>
    </row>
    <row r="11" spans="2:13" ht="39.950000000000003" customHeight="1">
      <c r="B11" s="151" t="s">
        <v>261</v>
      </c>
      <c r="C11" s="619" t="s">
        <v>344</v>
      </c>
      <c r="D11" s="620"/>
      <c r="E11" s="9" t="s">
        <v>237</v>
      </c>
      <c r="F11" s="9">
        <v>0</v>
      </c>
      <c r="G11" s="9">
        <v>3694</v>
      </c>
      <c r="H11" s="9">
        <v>0</v>
      </c>
      <c r="I11" s="9"/>
      <c r="J11" s="9">
        <f t="shared" si="0"/>
        <v>0</v>
      </c>
      <c r="K11" s="152">
        <f t="shared" si="2"/>
        <v>3694</v>
      </c>
      <c r="L11" s="9">
        <f t="shared" si="1"/>
        <v>44328</v>
      </c>
      <c r="M11" s="3"/>
    </row>
    <row r="12" spans="2:13" ht="39.950000000000003" customHeight="1">
      <c r="B12" s="151" t="s">
        <v>262</v>
      </c>
      <c r="C12" s="619" t="s">
        <v>345</v>
      </c>
      <c r="D12" s="620"/>
      <c r="E12" s="9" t="s">
        <v>346</v>
      </c>
      <c r="F12" s="9">
        <v>0</v>
      </c>
      <c r="G12" s="9">
        <v>5686</v>
      </c>
      <c r="H12" s="9">
        <v>0</v>
      </c>
      <c r="I12" s="9"/>
      <c r="J12" s="9">
        <f t="shared" si="0"/>
        <v>0</v>
      </c>
      <c r="K12" s="152">
        <f>G12</f>
        <v>5686</v>
      </c>
      <c r="L12" s="9">
        <f t="shared" si="1"/>
        <v>68232</v>
      </c>
      <c r="M12" s="3"/>
    </row>
    <row r="13" spans="2:13" ht="39.950000000000003" customHeight="1">
      <c r="B13" s="151" t="s">
        <v>263</v>
      </c>
      <c r="C13" s="619" t="s">
        <v>347</v>
      </c>
      <c r="D13" s="620"/>
      <c r="E13" s="9" t="s">
        <v>237</v>
      </c>
      <c r="F13" s="9">
        <v>0</v>
      </c>
      <c r="G13" s="9">
        <v>2640</v>
      </c>
      <c r="H13" s="9">
        <v>0</v>
      </c>
      <c r="I13" s="9"/>
      <c r="J13" s="9">
        <f t="shared" si="0"/>
        <v>0</v>
      </c>
      <c r="K13" s="152">
        <f>G13+H13-I13</f>
        <v>2640</v>
      </c>
      <c r="L13" s="9">
        <f t="shared" si="1"/>
        <v>31680</v>
      </c>
      <c r="M13" s="3"/>
    </row>
    <row r="14" spans="2:13" ht="15.75" thickBot="1">
      <c r="B14" s="156"/>
      <c r="C14" s="476" t="s">
        <v>44</v>
      </c>
      <c r="D14" s="477">
        <f>SUM(D8:D13)</f>
        <v>0</v>
      </c>
      <c r="E14" s="477"/>
      <c r="F14" s="477">
        <f t="shared" ref="F14:J14" si="3">SUM(F8:F13)</f>
        <v>0</v>
      </c>
      <c r="G14" s="477">
        <f>SUM(G8:G13)</f>
        <v>23607</v>
      </c>
      <c r="H14" s="477">
        <f t="shared" si="3"/>
        <v>0</v>
      </c>
      <c r="I14" s="477">
        <f t="shared" si="3"/>
        <v>0</v>
      </c>
      <c r="J14" s="477">
        <f t="shared" si="3"/>
        <v>0</v>
      </c>
      <c r="K14" s="206">
        <f>SUM(K8:K13)</f>
        <v>23607</v>
      </c>
      <c r="L14" s="602">
        <f>SUM(L8:L13)</f>
        <v>283284</v>
      </c>
      <c r="M14" s="510"/>
    </row>
    <row r="15" spans="2:13" ht="15.75" thickTop="1">
      <c r="K15" s="157" t="s">
        <v>45</v>
      </c>
      <c r="L15" s="157"/>
    </row>
    <row r="17" spans="2:14">
      <c r="F17" s="161"/>
      <c r="G17" s="161"/>
      <c r="H17" s="161"/>
      <c r="I17" s="161"/>
      <c r="K17" s="161"/>
      <c r="L17" s="161"/>
      <c r="M17" s="161"/>
    </row>
    <row r="18" spans="2:14">
      <c r="B18" s="631" t="s">
        <v>715</v>
      </c>
      <c r="C18" s="631"/>
      <c r="D18" s="160"/>
      <c r="F18" s="632" t="s">
        <v>693</v>
      </c>
      <c r="G18" s="632"/>
      <c r="H18" s="632"/>
      <c r="I18" s="632"/>
      <c r="K18" s="631" t="s">
        <v>653</v>
      </c>
      <c r="L18" s="631"/>
      <c r="M18" s="631"/>
      <c r="N18" s="6"/>
    </row>
    <row r="19" spans="2:14">
      <c r="B19" s="632" t="s">
        <v>144</v>
      </c>
      <c r="C19" s="632"/>
      <c r="D19" s="6"/>
      <c r="F19" s="632" t="s">
        <v>145</v>
      </c>
      <c r="G19" s="632"/>
      <c r="H19" s="632"/>
      <c r="I19" s="632"/>
      <c r="K19" s="632" t="s">
        <v>30</v>
      </c>
      <c r="L19" s="632"/>
      <c r="M19" s="632"/>
      <c r="N19" s="6"/>
    </row>
  </sheetData>
  <mergeCells count="16">
    <mergeCell ref="B19:C19"/>
    <mergeCell ref="F19:I19"/>
    <mergeCell ref="K19:M19"/>
    <mergeCell ref="C1:H1"/>
    <mergeCell ref="B2:M2"/>
    <mergeCell ref="B3:M3"/>
    <mergeCell ref="B18:C18"/>
    <mergeCell ref="F18:I18"/>
    <mergeCell ref="K18:M18"/>
    <mergeCell ref="C8:D8"/>
    <mergeCell ref="C9:D9"/>
    <mergeCell ref="C10:D10"/>
    <mergeCell ref="C11:D11"/>
    <mergeCell ref="C12:D12"/>
    <mergeCell ref="C13:D13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80"/>
  <sheetViews>
    <sheetView topLeftCell="A56" zoomScale="91" zoomScaleNormal="91" workbookViewId="0">
      <selection activeCell="A80" sqref="A80:XFD80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3.7109375" customWidth="1"/>
    <col min="6" max="6" width="29.42578125" customWidth="1"/>
    <col min="7" max="7" width="8.42578125" hidden="1" customWidth="1"/>
    <col min="8" max="8" width="0.28515625" style="337" customWidth="1"/>
    <col min="9" max="9" width="16.28515625" style="227" customWidth="1"/>
    <col min="10" max="10" width="20.28515625" style="227" customWidth="1"/>
    <col min="11" max="11" width="13" style="227" bestFit="1" customWidth="1"/>
    <col min="12" max="12" width="16.28515625" style="227" customWidth="1"/>
    <col min="13" max="13" width="40.42578125" customWidth="1"/>
  </cols>
  <sheetData>
    <row r="1" spans="2:13" ht="9" customHeight="1"/>
    <row r="2" spans="2:13" ht="18.75">
      <c r="C2" s="707" t="s">
        <v>534</v>
      </c>
      <c r="D2" s="707"/>
      <c r="E2" s="707"/>
      <c r="F2" s="707"/>
      <c r="G2" s="707"/>
      <c r="H2" s="707"/>
      <c r="I2" s="707"/>
      <c r="J2" s="707"/>
      <c r="K2" s="707"/>
      <c r="L2" s="707"/>
      <c r="M2" s="707"/>
    </row>
    <row r="3" spans="2:13" ht="18.75">
      <c r="C3" s="707" t="s">
        <v>550</v>
      </c>
      <c r="D3" s="707"/>
      <c r="E3" s="707"/>
      <c r="F3" s="707"/>
      <c r="G3" s="707"/>
      <c r="H3" s="707"/>
      <c r="I3" s="707"/>
      <c r="J3" s="707"/>
      <c r="K3" s="707"/>
      <c r="L3" s="707"/>
      <c r="M3" s="707"/>
    </row>
    <row r="4" spans="2:13" ht="8.25" customHeight="1">
      <c r="C4" s="228"/>
      <c r="D4" s="228"/>
      <c r="E4" s="228"/>
      <c r="F4" s="228"/>
      <c r="G4" s="229"/>
      <c r="H4" s="338"/>
      <c r="I4" s="267"/>
      <c r="J4" s="267"/>
    </row>
    <row r="5" spans="2:13" ht="18.75">
      <c r="C5" s="229"/>
      <c r="D5" s="707" t="s">
        <v>732</v>
      </c>
      <c r="E5" s="707"/>
      <c r="F5" s="707"/>
      <c r="G5" s="707"/>
      <c r="H5" s="707"/>
      <c r="I5" s="707"/>
      <c r="J5" s="707"/>
      <c r="K5" s="230"/>
      <c r="L5" s="230"/>
      <c r="M5" s="231"/>
    </row>
    <row r="7" spans="2:13" ht="28.5" customHeight="1">
      <c r="B7" s="473"/>
      <c r="C7" s="474" t="s">
        <v>269</v>
      </c>
      <c r="D7" s="474" t="s">
        <v>51</v>
      </c>
      <c r="E7" s="474" t="s">
        <v>442</v>
      </c>
      <c r="F7" s="474" t="s">
        <v>443</v>
      </c>
      <c r="G7" s="474"/>
      <c r="H7" s="475"/>
      <c r="I7" s="475" t="s">
        <v>271</v>
      </c>
      <c r="J7" s="475" t="s">
        <v>559</v>
      </c>
      <c r="K7" s="475" t="s">
        <v>510</v>
      </c>
      <c r="L7" s="475" t="s">
        <v>749</v>
      </c>
      <c r="M7" s="474" t="s">
        <v>29</v>
      </c>
    </row>
    <row r="9" spans="2:13" ht="30" customHeight="1">
      <c r="B9" s="162">
        <v>1</v>
      </c>
      <c r="C9" s="162" t="s">
        <v>275</v>
      </c>
      <c r="D9" s="162" t="s">
        <v>444</v>
      </c>
      <c r="E9" s="162" t="s">
        <v>445</v>
      </c>
      <c r="F9" s="162" t="s">
        <v>446</v>
      </c>
      <c r="G9" s="162">
        <f>G5</f>
        <v>0</v>
      </c>
      <c r="H9" s="339">
        <f>5174/2</f>
        <v>2587</v>
      </c>
      <c r="I9" s="268">
        <v>2690</v>
      </c>
      <c r="J9" s="266"/>
      <c r="K9" s="232">
        <f>I9-J9</f>
        <v>2690</v>
      </c>
      <c r="L9" s="232">
        <f>K9*12</f>
        <v>32280</v>
      </c>
      <c r="M9" s="162"/>
    </row>
    <row r="10" spans="2:13" ht="30" customHeight="1">
      <c r="B10" s="162">
        <f>B9+1</f>
        <v>2</v>
      </c>
      <c r="C10" s="162" t="s">
        <v>276</v>
      </c>
      <c r="D10" s="162"/>
      <c r="E10" s="162" t="s">
        <v>447</v>
      </c>
      <c r="F10" s="162" t="s">
        <v>448</v>
      </c>
      <c r="G10" s="162">
        <f>G9</f>
        <v>0</v>
      </c>
      <c r="H10" s="339">
        <f>4578/2</f>
        <v>2289</v>
      </c>
      <c r="I10" s="268">
        <v>2381</v>
      </c>
      <c r="J10" s="266"/>
      <c r="K10" s="232">
        <f t="shared" ref="K10:K42" si="0">I10-J10</f>
        <v>2381</v>
      </c>
      <c r="L10" s="232">
        <f t="shared" ref="L10:L61" si="1">K10*12</f>
        <v>28572</v>
      </c>
      <c r="M10" s="162"/>
    </row>
    <row r="11" spans="2:13" ht="30" customHeight="1">
      <c r="B11" s="162">
        <f t="shared" ref="B11:B15" si="2">B10+1</f>
        <v>3</v>
      </c>
      <c r="C11" s="162" t="s">
        <v>277</v>
      </c>
      <c r="D11" s="162" t="s">
        <v>449</v>
      </c>
      <c r="E11" s="162" t="s">
        <v>450</v>
      </c>
      <c r="F11" s="162" t="s">
        <v>451</v>
      </c>
      <c r="G11" s="162" t="e">
        <f>#REF!</f>
        <v>#REF!</v>
      </c>
      <c r="H11" s="340">
        <f>3790/2</f>
        <v>1895</v>
      </c>
      <c r="I11" s="268">
        <v>1971</v>
      </c>
      <c r="J11" s="268"/>
      <c r="K11" s="232">
        <f t="shared" si="0"/>
        <v>1971</v>
      </c>
      <c r="L11" s="232">
        <f t="shared" si="1"/>
        <v>23652</v>
      </c>
      <c r="M11" s="162"/>
    </row>
    <row r="12" spans="2:13" ht="30" customHeight="1">
      <c r="B12" s="162">
        <f>B11+1</f>
        <v>4</v>
      </c>
      <c r="C12" s="162" t="s">
        <v>609</v>
      </c>
      <c r="D12" s="162" t="s">
        <v>452</v>
      </c>
      <c r="E12" s="162" t="s">
        <v>453</v>
      </c>
      <c r="F12" s="162" t="s">
        <v>454</v>
      </c>
      <c r="G12" s="162" t="e">
        <f>G64</f>
        <v>#REF!</v>
      </c>
      <c r="H12" s="340">
        <f>5242/2</f>
        <v>2621</v>
      </c>
      <c r="I12" s="268">
        <v>2726</v>
      </c>
      <c r="J12" s="268"/>
      <c r="K12" s="232">
        <f t="shared" si="0"/>
        <v>2726</v>
      </c>
      <c r="L12" s="232">
        <f t="shared" si="1"/>
        <v>32712</v>
      </c>
      <c r="M12" s="162"/>
    </row>
    <row r="13" spans="2:13" ht="30" customHeight="1">
      <c r="B13" s="162">
        <f t="shared" si="2"/>
        <v>5</v>
      </c>
      <c r="C13" s="162" t="s">
        <v>455</v>
      </c>
      <c r="D13" s="162"/>
      <c r="E13" s="162" t="s">
        <v>456</v>
      </c>
      <c r="F13" s="162" t="s">
        <v>451</v>
      </c>
      <c r="G13" s="162" t="e">
        <f t="shared" ref="G13:G39" si="3">G12</f>
        <v>#REF!</v>
      </c>
      <c r="H13" s="340">
        <f>7720/2</f>
        <v>3860</v>
      </c>
      <c r="I13" s="268">
        <v>4014</v>
      </c>
      <c r="J13" s="268"/>
      <c r="K13" s="232">
        <f>I13-J13</f>
        <v>4014</v>
      </c>
      <c r="L13" s="232">
        <f t="shared" si="1"/>
        <v>48168</v>
      </c>
      <c r="M13" s="162"/>
    </row>
    <row r="14" spans="2:13" ht="30" customHeight="1">
      <c r="B14" s="162">
        <f t="shared" si="2"/>
        <v>6</v>
      </c>
      <c r="C14" s="162" t="s">
        <v>278</v>
      </c>
      <c r="D14" s="162" t="s">
        <v>457</v>
      </c>
      <c r="E14" s="162" t="s">
        <v>458</v>
      </c>
      <c r="F14" s="162" t="s">
        <v>451</v>
      </c>
      <c r="G14" s="162" t="e">
        <f t="shared" si="3"/>
        <v>#REF!</v>
      </c>
      <c r="H14" s="340">
        <v>3543</v>
      </c>
      <c r="I14" s="268">
        <v>3685</v>
      </c>
      <c r="J14" s="268"/>
      <c r="K14" s="232">
        <f>I14-J14</f>
        <v>3685</v>
      </c>
      <c r="L14" s="232">
        <f t="shared" si="1"/>
        <v>44220</v>
      </c>
      <c r="M14" s="162"/>
    </row>
    <row r="15" spans="2:13" ht="30" customHeight="1">
      <c r="B15" s="162">
        <f t="shared" si="2"/>
        <v>7</v>
      </c>
      <c r="C15" s="162" t="s">
        <v>279</v>
      </c>
      <c r="D15" s="162" t="s">
        <v>459</v>
      </c>
      <c r="E15" s="162" t="s">
        <v>460</v>
      </c>
      <c r="F15" s="162" t="s">
        <v>461</v>
      </c>
      <c r="G15" s="162" t="e">
        <f t="shared" si="3"/>
        <v>#REF!</v>
      </c>
      <c r="H15" s="340">
        <f>6608/2</f>
        <v>3304</v>
      </c>
      <c r="I15" s="268">
        <v>3436</v>
      </c>
      <c r="J15" s="268"/>
      <c r="K15" s="232">
        <f t="shared" si="0"/>
        <v>3436</v>
      </c>
      <c r="L15" s="232">
        <f t="shared" si="1"/>
        <v>41232</v>
      </c>
      <c r="M15" s="162"/>
    </row>
    <row r="16" spans="2:13" ht="30" customHeight="1">
      <c r="B16" s="162">
        <f>B15+1</f>
        <v>8</v>
      </c>
      <c r="C16" s="162" t="s">
        <v>660</v>
      </c>
      <c r="D16" s="162" t="s">
        <v>462</v>
      </c>
      <c r="E16" s="162" t="s">
        <v>463</v>
      </c>
      <c r="F16" s="162" t="s">
        <v>451</v>
      </c>
      <c r="G16" s="162" t="e">
        <f>G15</f>
        <v>#REF!</v>
      </c>
      <c r="H16" s="340">
        <f>3510/2</f>
        <v>1755</v>
      </c>
      <c r="I16" s="268">
        <v>1664</v>
      </c>
      <c r="J16" s="268"/>
      <c r="K16" s="232">
        <f t="shared" si="0"/>
        <v>1664</v>
      </c>
      <c r="L16" s="232">
        <f t="shared" si="1"/>
        <v>19968</v>
      </c>
      <c r="M16" s="162"/>
    </row>
    <row r="17" spans="2:13" ht="30" customHeight="1">
      <c r="B17" s="162">
        <f t="shared" ref="B17:B53" si="4">B16+1</f>
        <v>9</v>
      </c>
      <c r="C17" s="162" t="s">
        <v>280</v>
      </c>
      <c r="D17" s="162"/>
      <c r="E17" s="162" t="s">
        <v>464</v>
      </c>
      <c r="F17" s="162"/>
      <c r="G17" s="162" t="e">
        <f>G66</f>
        <v>#REF!</v>
      </c>
      <c r="H17" s="339">
        <f>6240/2</f>
        <v>3120</v>
      </c>
      <c r="I17" s="268">
        <v>3245</v>
      </c>
      <c r="J17" s="268"/>
      <c r="K17" s="232">
        <f t="shared" si="0"/>
        <v>3245</v>
      </c>
      <c r="L17" s="232">
        <f t="shared" si="1"/>
        <v>38940</v>
      </c>
      <c r="M17" s="162"/>
    </row>
    <row r="18" spans="2:13" ht="30" customHeight="1">
      <c r="B18" s="162">
        <f t="shared" si="4"/>
        <v>10</v>
      </c>
      <c r="C18" s="162" t="s">
        <v>281</v>
      </c>
      <c r="D18" s="162" t="s">
        <v>465</v>
      </c>
      <c r="E18" s="162" t="s">
        <v>466</v>
      </c>
      <c r="F18" s="545" t="s">
        <v>618</v>
      </c>
      <c r="G18" s="162" t="e">
        <f t="shared" si="3"/>
        <v>#REF!</v>
      </c>
      <c r="H18" s="340">
        <f>6128/2</f>
        <v>3064</v>
      </c>
      <c r="I18" s="268">
        <v>3187</v>
      </c>
      <c r="J18" s="268"/>
      <c r="K18" s="232">
        <f t="shared" si="0"/>
        <v>3187</v>
      </c>
      <c r="L18" s="232">
        <f t="shared" si="1"/>
        <v>38244</v>
      </c>
      <c r="M18" s="162"/>
    </row>
    <row r="19" spans="2:13" ht="30" customHeight="1">
      <c r="B19" s="162">
        <f t="shared" si="4"/>
        <v>11</v>
      </c>
      <c r="C19" s="162" t="s">
        <v>282</v>
      </c>
      <c r="D19" s="162"/>
      <c r="E19" s="162" t="s">
        <v>467</v>
      </c>
      <c r="F19" s="162" t="s">
        <v>451</v>
      </c>
      <c r="G19" s="162" t="e">
        <f t="shared" si="3"/>
        <v>#REF!</v>
      </c>
      <c r="H19" s="339">
        <f>7330/2</f>
        <v>3665</v>
      </c>
      <c r="I19" s="268">
        <v>3812</v>
      </c>
      <c r="J19" s="268"/>
      <c r="K19" s="232">
        <f t="shared" si="0"/>
        <v>3812</v>
      </c>
      <c r="L19" s="232">
        <f t="shared" si="1"/>
        <v>45744</v>
      </c>
      <c r="M19" s="162"/>
    </row>
    <row r="20" spans="2:13" ht="30" customHeight="1">
      <c r="B20" s="162">
        <f t="shared" si="4"/>
        <v>12</v>
      </c>
      <c r="C20" s="162" t="s">
        <v>283</v>
      </c>
      <c r="D20" s="162" t="s">
        <v>468</v>
      </c>
      <c r="E20" s="162" t="s">
        <v>445</v>
      </c>
      <c r="F20" s="162"/>
      <c r="G20" s="162" t="e">
        <f t="shared" si="3"/>
        <v>#REF!</v>
      </c>
      <c r="H20" s="339">
        <f>6240/2</f>
        <v>3120</v>
      </c>
      <c r="I20" s="268">
        <v>3245</v>
      </c>
      <c r="J20" s="266"/>
      <c r="K20" s="232">
        <f t="shared" si="0"/>
        <v>3245</v>
      </c>
      <c r="L20" s="232">
        <f t="shared" si="1"/>
        <v>38940</v>
      </c>
      <c r="M20" s="162"/>
    </row>
    <row r="21" spans="2:13" ht="30" customHeight="1">
      <c r="B21" s="162">
        <f t="shared" si="4"/>
        <v>13</v>
      </c>
      <c r="C21" s="162" t="s">
        <v>284</v>
      </c>
      <c r="D21" s="162" t="s">
        <v>469</v>
      </c>
      <c r="E21" s="162" t="s">
        <v>470</v>
      </c>
      <c r="F21" s="162" t="s">
        <v>471</v>
      </c>
      <c r="G21" s="162" t="e">
        <f>#REF!</f>
        <v>#REF!</v>
      </c>
      <c r="H21" s="339">
        <f>4210/2</f>
        <v>2105</v>
      </c>
      <c r="I21" s="268">
        <v>2189</v>
      </c>
      <c r="J21" s="266"/>
      <c r="K21" s="232">
        <f t="shared" si="0"/>
        <v>2189</v>
      </c>
      <c r="L21" s="232">
        <f t="shared" si="1"/>
        <v>26268</v>
      </c>
      <c r="M21" s="162"/>
    </row>
    <row r="22" spans="2:13" ht="30" customHeight="1">
      <c r="B22" s="162">
        <f t="shared" si="4"/>
        <v>14</v>
      </c>
      <c r="C22" s="162" t="s">
        <v>285</v>
      </c>
      <c r="D22" s="162" t="s">
        <v>472</v>
      </c>
      <c r="E22" s="162" t="s">
        <v>473</v>
      </c>
      <c r="F22" s="162" t="s">
        <v>451</v>
      </c>
      <c r="G22" s="162" t="e">
        <f>#REF!</f>
        <v>#REF!</v>
      </c>
      <c r="H22" s="339">
        <f>4992/2</f>
        <v>2496</v>
      </c>
      <c r="I22" s="268">
        <v>3214</v>
      </c>
      <c r="J22" s="268"/>
      <c r="K22" s="232">
        <f t="shared" si="0"/>
        <v>3214</v>
      </c>
      <c r="L22" s="232">
        <f t="shared" si="1"/>
        <v>38568</v>
      </c>
      <c r="M22" s="162"/>
    </row>
    <row r="23" spans="2:13" ht="30" customHeight="1">
      <c r="B23" s="162">
        <f t="shared" si="4"/>
        <v>15</v>
      </c>
      <c r="C23" s="162" t="s">
        <v>582</v>
      </c>
      <c r="D23" s="162" t="s">
        <v>474</v>
      </c>
      <c r="E23" s="162" t="s">
        <v>475</v>
      </c>
      <c r="F23" s="162" t="s">
        <v>451</v>
      </c>
      <c r="G23" s="162" t="e">
        <f t="shared" si="3"/>
        <v>#REF!</v>
      </c>
      <c r="H23" s="339">
        <f>5848/2</f>
        <v>2924</v>
      </c>
      <c r="I23" s="268">
        <v>3811</v>
      </c>
      <c r="J23" s="266"/>
      <c r="K23" s="232">
        <f t="shared" si="0"/>
        <v>3811</v>
      </c>
      <c r="L23" s="232">
        <f t="shared" si="1"/>
        <v>45732</v>
      </c>
      <c r="M23" s="162"/>
    </row>
    <row r="24" spans="2:13" ht="30" customHeight="1">
      <c r="B24" s="162">
        <f t="shared" si="4"/>
        <v>16</v>
      </c>
      <c r="C24" s="162" t="s">
        <v>476</v>
      </c>
      <c r="D24" s="162" t="s">
        <v>477</v>
      </c>
      <c r="E24" s="162" t="s">
        <v>478</v>
      </c>
      <c r="F24" s="162" t="s">
        <v>451</v>
      </c>
      <c r="G24" s="162" t="e">
        <f t="shared" si="3"/>
        <v>#REF!</v>
      </c>
      <c r="H24" s="339">
        <f>7060/2</f>
        <v>3530</v>
      </c>
      <c r="I24" s="268">
        <v>3671</v>
      </c>
      <c r="J24" s="266"/>
      <c r="K24" s="232">
        <f t="shared" si="0"/>
        <v>3671</v>
      </c>
      <c r="L24" s="232">
        <f t="shared" si="1"/>
        <v>44052</v>
      </c>
      <c r="M24" s="162"/>
    </row>
    <row r="25" spans="2:13" ht="30" customHeight="1">
      <c r="B25" s="162">
        <f t="shared" si="4"/>
        <v>17</v>
      </c>
      <c r="C25" s="162" t="s">
        <v>286</v>
      </c>
      <c r="D25" s="162"/>
      <c r="E25" s="162" t="s">
        <v>479</v>
      </c>
      <c r="F25" s="162" t="s">
        <v>451</v>
      </c>
      <c r="G25" s="162" t="e">
        <f t="shared" si="3"/>
        <v>#REF!</v>
      </c>
      <c r="H25" s="339">
        <f>7414/2</f>
        <v>3707</v>
      </c>
      <c r="I25" s="268">
        <v>3855</v>
      </c>
      <c r="J25" s="266"/>
      <c r="K25" s="232">
        <f t="shared" si="0"/>
        <v>3855</v>
      </c>
      <c r="L25" s="232">
        <f t="shared" si="1"/>
        <v>46260</v>
      </c>
      <c r="M25" s="162"/>
    </row>
    <row r="26" spans="2:13" ht="30" customHeight="1">
      <c r="B26" s="162">
        <f t="shared" si="4"/>
        <v>18</v>
      </c>
      <c r="C26" s="162" t="s">
        <v>288</v>
      </c>
      <c r="D26" s="162" t="s">
        <v>480</v>
      </c>
      <c r="E26" s="162" t="s">
        <v>481</v>
      </c>
      <c r="F26" s="162"/>
      <c r="G26" s="162" t="e">
        <f t="shared" si="3"/>
        <v>#REF!</v>
      </c>
      <c r="H26" s="339">
        <f>3510/2</f>
        <v>1755</v>
      </c>
      <c r="I26" s="268">
        <v>1825</v>
      </c>
      <c r="J26" s="266"/>
      <c r="K26" s="232">
        <f t="shared" si="0"/>
        <v>1825</v>
      </c>
      <c r="L26" s="232">
        <f t="shared" si="1"/>
        <v>21900</v>
      </c>
      <c r="M26" s="162"/>
    </row>
    <row r="27" spans="2:13" ht="30" customHeight="1">
      <c r="B27" s="162">
        <f t="shared" si="4"/>
        <v>19</v>
      </c>
      <c r="C27" s="162" t="s">
        <v>289</v>
      </c>
      <c r="D27" s="162" t="s">
        <v>482</v>
      </c>
      <c r="E27" s="162" t="s">
        <v>483</v>
      </c>
      <c r="F27" s="162" t="s">
        <v>451</v>
      </c>
      <c r="G27" s="162" t="e">
        <f t="shared" si="3"/>
        <v>#REF!</v>
      </c>
      <c r="H27" s="340">
        <f>6438/2</f>
        <v>3219</v>
      </c>
      <c r="I27" s="268">
        <v>3348</v>
      </c>
      <c r="J27" s="268"/>
      <c r="K27" s="232">
        <f t="shared" si="0"/>
        <v>3348</v>
      </c>
      <c r="L27" s="232">
        <f t="shared" si="1"/>
        <v>40176</v>
      </c>
      <c r="M27" s="162"/>
    </row>
    <row r="28" spans="2:13" ht="30" customHeight="1">
      <c r="B28" s="162">
        <f>B27+1</f>
        <v>20</v>
      </c>
      <c r="C28" s="162" t="s">
        <v>578</v>
      </c>
      <c r="D28" s="162"/>
      <c r="E28" s="162" t="s">
        <v>579</v>
      </c>
      <c r="F28" s="162"/>
      <c r="G28" s="162" t="e">
        <f>G27</f>
        <v>#REF!</v>
      </c>
      <c r="H28" s="340">
        <f>7488/2</f>
        <v>3744</v>
      </c>
      <c r="I28" s="268">
        <v>3894</v>
      </c>
      <c r="J28" s="268"/>
      <c r="K28" s="232">
        <f t="shared" si="0"/>
        <v>3894</v>
      </c>
      <c r="L28" s="232">
        <f t="shared" si="1"/>
        <v>46728</v>
      </c>
      <c r="M28" s="162"/>
    </row>
    <row r="29" spans="2:13" ht="30" customHeight="1">
      <c r="B29" s="162">
        <f t="shared" si="4"/>
        <v>21</v>
      </c>
      <c r="C29" s="162" t="s">
        <v>484</v>
      </c>
      <c r="D29" s="162" t="s">
        <v>485</v>
      </c>
      <c r="E29" s="162" t="s">
        <v>445</v>
      </c>
      <c r="F29" s="162"/>
      <c r="G29" s="162" t="e">
        <f>#REF!</f>
        <v>#REF!</v>
      </c>
      <c r="H29" s="339">
        <f>6240/2</f>
        <v>3120</v>
      </c>
      <c r="I29" s="268">
        <v>3245</v>
      </c>
      <c r="J29" s="266"/>
      <c r="K29" s="232">
        <f t="shared" si="0"/>
        <v>3245</v>
      </c>
      <c r="L29" s="232">
        <f t="shared" si="1"/>
        <v>38940</v>
      </c>
      <c r="M29" s="162"/>
    </row>
    <row r="30" spans="2:13" ht="30" customHeight="1">
      <c r="B30" s="162">
        <f>B29+1</f>
        <v>22</v>
      </c>
      <c r="C30" s="162" t="s">
        <v>546</v>
      </c>
      <c r="D30" s="162"/>
      <c r="E30" s="162" t="s">
        <v>547</v>
      </c>
      <c r="F30" s="162"/>
      <c r="G30" s="162"/>
      <c r="H30" s="340">
        <f>7072/2</f>
        <v>3536</v>
      </c>
      <c r="I30" s="268">
        <v>3677</v>
      </c>
      <c r="J30" s="268"/>
      <c r="K30" s="232">
        <f t="shared" si="0"/>
        <v>3677</v>
      </c>
      <c r="L30" s="232">
        <f t="shared" si="1"/>
        <v>44124</v>
      </c>
      <c r="M30" s="162"/>
    </row>
    <row r="31" spans="2:13" ht="30" customHeight="1">
      <c r="B31" s="162">
        <f t="shared" si="4"/>
        <v>23</v>
      </c>
      <c r="C31" s="162" t="s">
        <v>486</v>
      </c>
      <c r="D31" s="162" t="s">
        <v>487</v>
      </c>
      <c r="E31" s="162" t="s">
        <v>488</v>
      </c>
      <c r="F31" s="162" t="s">
        <v>489</v>
      </c>
      <c r="G31" s="162" t="e">
        <f>G29</f>
        <v>#REF!</v>
      </c>
      <c r="H31" s="339">
        <f>3536/2</f>
        <v>1768</v>
      </c>
      <c r="I31" s="268">
        <v>1839</v>
      </c>
      <c r="J31" s="266"/>
      <c r="K31" s="232">
        <f t="shared" si="0"/>
        <v>1839</v>
      </c>
      <c r="L31" s="232">
        <f t="shared" si="1"/>
        <v>22068</v>
      </c>
      <c r="M31" s="162"/>
    </row>
    <row r="32" spans="2:13" ht="30" customHeight="1">
      <c r="B32" s="162">
        <f t="shared" si="4"/>
        <v>24</v>
      </c>
      <c r="C32" s="162" t="s">
        <v>290</v>
      </c>
      <c r="D32" s="162"/>
      <c r="E32" s="162" t="s">
        <v>464</v>
      </c>
      <c r="F32" s="162"/>
      <c r="G32" s="162" t="e">
        <f>G67</f>
        <v>#REF!</v>
      </c>
      <c r="H32" s="339">
        <f>6864/2</f>
        <v>3432</v>
      </c>
      <c r="I32" s="268">
        <v>3569</v>
      </c>
      <c r="J32" s="268"/>
      <c r="K32" s="232">
        <f t="shared" si="0"/>
        <v>3569</v>
      </c>
      <c r="L32" s="232">
        <f t="shared" si="1"/>
        <v>42828</v>
      </c>
      <c r="M32" s="162"/>
    </row>
    <row r="33" spans="2:13" ht="30" customHeight="1">
      <c r="B33" s="162">
        <f>B32+1</f>
        <v>25</v>
      </c>
      <c r="C33" s="162" t="s">
        <v>292</v>
      </c>
      <c r="D33" s="162"/>
      <c r="E33" s="162" t="s">
        <v>445</v>
      </c>
      <c r="F33" s="162"/>
      <c r="G33" s="162" t="e">
        <f>#REF!</f>
        <v>#REF!</v>
      </c>
      <c r="H33" s="340">
        <f>6240/2</f>
        <v>3120</v>
      </c>
      <c r="I33" s="268">
        <v>3569</v>
      </c>
      <c r="J33" s="268"/>
      <c r="K33" s="232">
        <f t="shared" si="0"/>
        <v>3569</v>
      </c>
      <c r="L33" s="232">
        <f t="shared" si="1"/>
        <v>42828</v>
      </c>
      <c r="M33" s="162"/>
    </row>
    <row r="34" spans="2:13" ht="30" customHeight="1">
      <c r="B34" s="162">
        <f t="shared" si="4"/>
        <v>26</v>
      </c>
      <c r="C34" s="162" t="s">
        <v>291</v>
      </c>
      <c r="D34" s="162" t="s">
        <v>490</v>
      </c>
      <c r="E34" s="254" t="s">
        <v>491</v>
      </c>
      <c r="F34" s="162" t="s">
        <v>461</v>
      </c>
      <c r="G34" s="162" t="e">
        <f t="shared" si="3"/>
        <v>#REF!</v>
      </c>
      <c r="H34" s="339">
        <f>5824/2</f>
        <v>2912</v>
      </c>
      <c r="I34" s="268">
        <v>3432</v>
      </c>
      <c r="J34" s="266"/>
      <c r="K34" s="232">
        <f t="shared" si="0"/>
        <v>3432</v>
      </c>
      <c r="L34" s="232">
        <f t="shared" si="1"/>
        <v>41184</v>
      </c>
      <c r="M34" s="162"/>
    </row>
    <row r="35" spans="2:13" ht="30" customHeight="1">
      <c r="B35" s="162">
        <f t="shared" si="4"/>
        <v>27</v>
      </c>
      <c r="C35" s="162" t="s">
        <v>492</v>
      </c>
      <c r="D35" s="162" t="s">
        <v>493</v>
      </c>
      <c r="E35" s="162" t="s">
        <v>491</v>
      </c>
      <c r="F35" s="162" t="s">
        <v>471</v>
      </c>
      <c r="G35" s="162" t="e">
        <f t="shared" si="3"/>
        <v>#REF!</v>
      </c>
      <c r="H35" s="339">
        <f>4784/2</f>
        <v>2392</v>
      </c>
      <c r="I35" s="268">
        <v>2488</v>
      </c>
      <c r="J35" s="266"/>
      <c r="K35" s="232">
        <f t="shared" si="0"/>
        <v>2488</v>
      </c>
      <c r="L35" s="232">
        <f t="shared" si="1"/>
        <v>29856</v>
      </c>
      <c r="M35" s="162"/>
    </row>
    <row r="36" spans="2:13" ht="30" customHeight="1">
      <c r="B36" s="162">
        <f t="shared" si="4"/>
        <v>28</v>
      </c>
      <c r="C36" s="254" t="s">
        <v>494</v>
      </c>
      <c r="D36" s="254"/>
      <c r="E36" s="254" t="s">
        <v>495</v>
      </c>
      <c r="F36" s="254" t="s">
        <v>448</v>
      </c>
      <c r="G36" s="254" t="e">
        <f t="shared" si="3"/>
        <v>#REF!</v>
      </c>
      <c r="H36" s="394">
        <f>6256/2</f>
        <v>3128</v>
      </c>
      <c r="I36" s="268">
        <v>3253</v>
      </c>
      <c r="J36" s="395"/>
      <c r="K36" s="396">
        <f t="shared" si="0"/>
        <v>3253</v>
      </c>
      <c r="L36" s="232">
        <f t="shared" si="1"/>
        <v>39036</v>
      </c>
      <c r="M36" s="254"/>
    </row>
    <row r="37" spans="2:13" ht="30" customHeight="1">
      <c r="B37" s="162">
        <f>B36+1</f>
        <v>29</v>
      </c>
      <c r="C37" s="254" t="s">
        <v>643</v>
      </c>
      <c r="D37" s="254"/>
      <c r="E37" s="254" t="s">
        <v>488</v>
      </c>
      <c r="F37" s="254" t="s">
        <v>496</v>
      </c>
      <c r="G37" s="254" t="e">
        <f>G36</f>
        <v>#REF!</v>
      </c>
      <c r="H37" s="394">
        <f>3068/2</f>
        <v>1534</v>
      </c>
      <c r="I37" s="268">
        <v>1596</v>
      </c>
      <c r="J37" s="395"/>
      <c r="K37" s="396">
        <f t="shared" si="0"/>
        <v>1596</v>
      </c>
      <c r="L37" s="232">
        <f t="shared" si="1"/>
        <v>19152</v>
      </c>
      <c r="M37" s="254"/>
    </row>
    <row r="38" spans="2:13" ht="30" customHeight="1">
      <c r="B38" s="162">
        <f t="shared" si="4"/>
        <v>30</v>
      </c>
      <c r="C38" s="162" t="s">
        <v>521</v>
      </c>
      <c r="D38" s="162"/>
      <c r="E38" s="162" t="s">
        <v>522</v>
      </c>
      <c r="F38" s="162" t="s">
        <v>451</v>
      </c>
      <c r="G38" s="162"/>
      <c r="H38" s="339">
        <f>6240/2</f>
        <v>3120</v>
      </c>
      <c r="I38" s="268">
        <v>3245</v>
      </c>
      <c r="J38" s="266"/>
      <c r="K38" s="232">
        <f t="shared" si="0"/>
        <v>3245</v>
      </c>
      <c r="L38" s="232">
        <f t="shared" si="1"/>
        <v>38940</v>
      </c>
      <c r="M38" s="162"/>
    </row>
    <row r="39" spans="2:13" ht="30" customHeight="1">
      <c r="B39" s="162">
        <f t="shared" si="4"/>
        <v>31</v>
      </c>
      <c r="C39" s="162" t="s">
        <v>431</v>
      </c>
      <c r="D39" s="162"/>
      <c r="E39" s="254" t="s">
        <v>497</v>
      </c>
      <c r="F39" s="162" t="s">
        <v>498</v>
      </c>
      <c r="G39" s="162">
        <f t="shared" si="3"/>
        <v>0</v>
      </c>
      <c r="H39" s="339">
        <f>3858/2</f>
        <v>1929</v>
      </c>
      <c r="I39" s="268">
        <v>2006</v>
      </c>
      <c r="J39" s="266"/>
      <c r="K39" s="232">
        <f t="shared" si="0"/>
        <v>2006</v>
      </c>
      <c r="L39" s="232">
        <f t="shared" si="1"/>
        <v>24072</v>
      </c>
      <c r="M39" s="162"/>
    </row>
    <row r="40" spans="2:13" ht="30" customHeight="1">
      <c r="B40" s="162">
        <f>B39+1</f>
        <v>32</v>
      </c>
      <c r="C40" s="162" t="s">
        <v>602</v>
      </c>
      <c r="D40" s="162"/>
      <c r="E40" s="162" t="s">
        <v>557</v>
      </c>
      <c r="F40" s="162" t="s">
        <v>556</v>
      </c>
      <c r="G40" s="162"/>
      <c r="H40" s="340"/>
      <c r="I40" s="268">
        <v>3432</v>
      </c>
      <c r="J40" s="268"/>
      <c r="K40" s="232">
        <f t="shared" si="0"/>
        <v>3432</v>
      </c>
      <c r="L40" s="232">
        <f t="shared" si="1"/>
        <v>41184</v>
      </c>
      <c r="M40" s="162"/>
    </row>
    <row r="41" spans="2:13" ht="30" customHeight="1">
      <c r="B41" s="162">
        <f t="shared" si="4"/>
        <v>33</v>
      </c>
      <c r="C41" s="162" t="s">
        <v>590</v>
      </c>
      <c r="D41" s="162"/>
      <c r="E41" s="162" t="s">
        <v>591</v>
      </c>
      <c r="F41" s="162"/>
      <c r="G41" s="162"/>
      <c r="H41" s="340"/>
      <c r="I41" s="268">
        <v>6653</v>
      </c>
      <c r="J41" s="268"/>
      <c r="K41" s="232">
        <f t="shared" si="0"/>
        <v>6653</v>
      </c>
      <c r="L41" s="232">
        <f t="shared" si="1"/>
        <v>79836</v>
      </c>
      <c r="M41" s="162"/>
    </row>
    <row r="42" spans="2:13" ht="30" customHeight="1">
      <c r="B42" s="162">
        <f t="shared" si="4"/>
        <v>34</v>
      </c>
      <c r="C42" s="162" t="s">
        <v>565</v>
      </c>
      <c r="D42" s="162"/>
      <c r="E42" s="162" t="s">
        <v>566</v>
      </c>
      <c r="F42" s="162"/>
      <c r="G42" s="162"/>
      <c r="H42" s="339">
        <f>7904/2</f>
        <v>3952</v>
      </c>
      <c r="I42" s="268">
        <v>4110</v>
      </c>
      <c r="J42" s="268"/>
      <c r="K42" s="232">
        <f t="shared" si="0"/>
        <v>4110</v>
      </c>
      <c r="L42" s="232">
        <f t="shared" si="1"/>
        <v>49320</v>
      </c>
      <c r="M42" s="162"/>
    </row>
    <row r="43" spans="2:13" ht="30" customHeight="1">
      <c r="B43" s="162">
        <f t="shared" si="4"/>
        <v>35</v>
      </c>
      <c r="C43" s="162" t="s">
        <v>598</v>
      </c>
      <c r="D43" s="162"/>
      <c r="E43" s="162" t="s">
        <v>597</v>
      </c>
      <c r="F43" s="162"/>
      <c r="G43" s="162"/>
      <c r="H43" s="340">
        <f>7488/2</f>
        <v>3744</v>
      </c>
      <c r="I43" s="268">
        <v>3894</v>
      </c>
      <c r="J43" s="268"/>
      <c r="K43" s="232">
        <f t="shared" ref="K43:K55" si="5">I43-J43</f>
        <v>3894</v>
      </c>
      <c r="L43" s="232">
        <f t="shared" si="1"/>
        <v>46728</v>
      </c>
      <c r="M43" s="162"/>
    </row>
    <row r="44" spans="2:13" ht="30" customHeight="1">
      <c r="B44" s="162">
        <f t="shared" si="4"/>
        <v>36</v>
      </c>
      <c r="C44" s="162" t="s">
        <v>594</v>
      </c>
      <c r="D44" s="162"/>
      <c r="E44" s="162" t="s">
        <v>244</v>
      </c>
      <c r="F44" s="162" t="s">
        <v>599</v>
      </c>
      <c r="G44" s="162"/>
      <c r="H44" s="340">
        <f>6138/2</f>
        <v>3069</v>
      </c>
      <c r="I44" s="268">
        <v>3192</v>
      </c>
      <c r="J44" s="268"/>
      <c r="K44" s="232">
        <f t="shared" si="5"/>
        <v>3192</v>
      </c>
      <c r="L44" s="232">
        <f t="shared" si="1"/>
        <v>38304</v>
      </c>
      <c r="M44" s="162"/>
    </row>
    <row r="45" spans="2:13" ht="30" customHeight="1">
      <c r="B45" s="162">
        <f t="shared" si="4"/>
        <v>37</v>
      </c>
      <c r="C45" s="162" t="s">
        <v>595</v>
      </c>
      <c r="D45" s="162"/>
      <c r="E45" s="162" t="s">
        <v>596</v>
      </c>
      <c r="F45" s="162"/>
      <c r="G45" s="162"/>
      <c r="H45" s="340">
        <f>5880/2</f>
        <v>2940</v>
      </c>
      <c r="I45" s="268">
        <v>4000</v>
      </c>
      <c r="J45" s="268"/>
      <c r="K45" s="232">
        <f t="shared" si="5"/>
        <v>4000</v>
      </c>
      <c r="L45" s="232">
        <f t="shared" si="1"/>
        <v>48000</v>
      </c>
      <c r="M45" s="162"/>
    </row>
    <row r="46" spans="2:13" ht="30" customHeight="1">
      <c r="B46" s="162">
        <f t="shared" si="4"/>
        <v>38</v>
      </c>
      <c r="C46" s="162" t="s">
        <v>612</v>
      </c>
      <c r="D46" s="162"/>
      <c r="E46" s="162" t="s">
        <v>591</v>
      </c>
      <c r="F46" s="162"/>
      <c r="G46" s="162"/>
      <c r="H46" s="340"/>
      <c r="I46" s="268">
        <v>6625</v>
      </c>
      <c r="J46" s="268"/>
      <c r="K46" s="232">
        <f t="shared" si="5"/>
        <v>6625</v>
      </c>
      <c r="L46" s="232">
        <f t="shared" si="1"/>
        <v>79500</v>
      </c>
      <c r="M46" s="162"/>
    </row>
    <row r="47" spans="2:13" ht="30" customHeight="1">
      <c r="B47" s="162">
        <f t="shared" si="4"/>
        <v>39</v>
      </c>
      <c r="C47" s="162" t="s">
        <v>623</v>
      </c>
      <c r="D47" s="162"/>
      <c r="E47" s="162" t="s">
        <v>237</v>
      </c>
      <c r="F47" s="162"/>
      <c r="G47" s="162"/>
      <c r="H47" s="340"/>
      <c r="I47" s="268">
        <v>3744</v>
      </c>
      <c r="J47" s="268"/>
      <c r="K47" s="232">
        <f t="shared" si="5"/>
        <v>3744</v>
      </c>
      <c r="L47" s="232">
        <f t="shared" si="1"/>
        <v>44928</v>
      </c>
      <c r="M47" s="162"/>
    </row>
    <row r="48" spans="2:13" ht="30" customHeight="1">
      <c r="B48" s="162">
        <f t="shared" si="4"/>
        <v>40</v>
      </c>
      <c r="C48" s="162" t="s">
        <v>625</v>
      </c>
      <c r="D48" s="162"/>
      <c r="E48" s="162" t="s">
        <v>627</v>
      </c>
      <c r="F48" s="162"/>
      <c r="G48" s="162"/>
      <c r="H48" s="340"/>
      <c r="I48" s="268">
        <v>7800</v>
      </c>
      <c r="J48" s="268"/>
      <c r="K48" s="232">
        <f t="shared" si="5"/>
        <v>7800</v>
      </c>
      <c r="L48" s="232">
        <f t="shared" si="1"/>
        <v>93600</v>
      </c>
      <c r="M48" s="162"/>
    </row>
    <row r="49" spans="2:13" ht="30" customHeight="1">
      <c r="B49" s="162">
        <f t="shared" si="4"/>
        <v>41</v>
      </c>
      <c r="C49" s="162" t="s">
        <v>626</v>
      </c>
      <c r="D49" s="162"/>
      <c r="E49" s="162" t="s">
        <v>628</v>
      </c>
      <c r="F49" s="162"/>
      <c r="G49" s="162"/>
      <c r="H49" s="340"/>
      <c r="I49" s="268">
        <v>7800</v>
      </c>
      <c r="J49" s="268"/>
      <c r="K49" s="232">
        <f t="shared" si="5"/>
        <v>7800</v>
      </c>
      <c r="L49" s="232">
        <f t="shared" si="1"/>
        <v>93600</v>
      </c>
      <c r="M49" s="162"/>
    </row>
    <row r="50" spans="2:13" ht="30" customHeight="1">
      <c r="B50" s="162">
        <f t="shared" si="4"/>
        <v>42</v>
      </c>
      <c r="C50" s="162" t="s">
        <v>634</v>
      </c>
      <c r="D50" s="162"/>
      <c r="E50" s="162" t="s">
        <v>635</v>
      </c>
      <c r="F50" s="162"/>
      <c r="G50" s="162"/>
      <c r="H50" s="340"/>
      <c r="I50" s="268">
        <v>3536</v>
      </c>
      <c r="J50" s="268"/>
      <c r="K50" s="232">
        <f t="shared" si="5"/>
        <v>3536</v>
      </c>
      <c r="L50" s="232">
        <f t="shared" si="1"/>
        <v>42432</v>
      </c>
      <c r="M50" s="162"/>
    </row>
    <row r="51" spans="2:13" ht="30" customHeight="1">
      <c r="B51" s="162">
        <f t="shared" si="4"/>
        <v>43</v>
      </c>
      <c r="C51" s="162" t="s">
        <v>641</v>
      </c>
      <c r="D51" s="162"/>
      <c r="E51" s="162" t="s">
        <v>639</v>
      </c>
      <c r="F51" s="162"/>
      <c r="G51" s="162"/>
      <c r="H51" s="340"/>
      <c r="I51" s="268">
        <v>2080</v>
      </c>
      <c r="J51" s="268"/>
      <c r="K51" s="232">
        <f t="shared" si="5"/>
        <v>2080</v>
      </c>
      <c r="L51" s="232">
        <f t="shared" si="1"/>
        <v>24960</v>
      </c>
      <c r="M51" s="162"/>
    </row>
    <row r="52" spans="2:13" ht="30" customHeight="1">
      <c r="B52" s="162">
        <f t="shared" si="4"/>
        <v>44</v>
      </c>
      <c r="C52" s="162" t="s">
        <v>642</v>
      </c>
      <c r="D52" s="162"/>
      <c r="E52" s="162" t="s">
        <v>644</v>
      </c>
      <c r="F52" s="162"/>
      <c r="G52" s="162"/>
      <c r="H52" s="340"/>
      <c r="I52" s="268">
        <v>2080</v>
      </c>
      <c r="J52" s="268"/>
      <c r="K52" s="232">
        <f t="shared" si="5"/>
        <v>2080</v>
      </c>
      <c r="L52" s="232">
        <f t="shared" si="1"/>
        <v>24960</v>
      </c>
      <c r="M52" s="162"/>
    </row>
    <row r="53" spans="2:13" ht="30" customHeight="1">
      <c r="B53" s="162">
        <f t="shared" si="4"/>
        <v>45</v>
      </c>
      <c r="C53" s="162" t="s">
        <v>662</v>
      </c>
      <c r="D53" s="162"/>
      <c r="E53" s="162" t="s">
        <v>661</v>
      </c>
      <c r="F53" s="162"/>
      <c r="G53" s="162"/>
      <c r="H53" s="340"/>
      <c r="I53" s="268">
        <v>3120</v>
      </c>
      <c r="J53" s="268"/>
      <c r="K53" s="232">
        <f t="shared" si="5"/>
        <v>3120</v>
      </c>
      <c r="L53" s="232">
        <f t="shared" si="1"/>
        <v>37440</v>
      </c>
      <c r="M53" s="162"/>
    </row>
    <row r="54" spans="2:13" ht="30" customHeight="1">
      <c r="B54" s="162">
        <v>47</v>
      </c>
      <c r="C54" s="162" t="s">
        <v>681</v>
      </c>
      <c r="D54" s="162"/>
      <c r="E54" s="162" t="s">
        <v>597</v>
      </c>
      <c r="F54" s="162"/>
      <c r="G54" s="162"/>
      <c r="H54" s="340"/>
      <c r="I54" s="268">
        <v>3744</v>
      </c>
      <c r="J54" s="268"/>
      <c r="K54" s="232">
        <f t="shared" si="5"/>
        <v>3744</v>
      </c>
      <c r="L54" s="232">
        <f t="shared" si="1"/>
        <v>44928</v>
      </c>
      <c r="M54" s="162"/>
    </row>
    <row r="55" spans="2:13" ht="30" customHeight="1">
      <c r="B55" s="162">
        <v>48</v>
      </c>
      <c r="C55" s="162" t="s">
        <v>682</v>
      </c>
      <c r="D55" s="162"/>
      <c r="E55" s="162" t="s">
        <v>683</v>
      </c>
      <c r="F55" s="162"/>
      <c r="G55" s="162"/>
      <c r="H55" s="340"/>
      <c r="I55" s="268">
        <v>4160</v>
      </c>
      <c r="J55" s="268"/>
      <c r="K55" s="232">
        <f t="shared" si="5"/>
        <v>4160</v>
      </c>
      <c r="L55" s="232">
        <f t="shared" si="1"/>
        <v>49920</v>
      </c>
      <c r="M55" s="162"/>
    </row>
    <row r="56" spans="2:13" ht="30" customHeight="1">
      <c r="B56" s="162">
        <v>49</v>
      </c>
      <c r="C56" s="162" t="s">
        <v>705</v>
      </c>
      <c r="D56" s="162"/>
      <c r="E56" s="162" t="s">
        <v>707</v>
      </c>
      <c r="F56" s="162"/>
      <c r="G56" s="162" t="e">
        <f>G28</f>
        <v>#REF!</v>
      </c>
      <c r="H56" s="340">
        <f>8320/2</f>
        <v>4160</v>
      </c>
      <c r="I56" s="268">
        <v>4326</v>
      </c>
      <c r="J56" s="268"/>
      <c r="K56" s="232">
        <f>I56-J56</f>
        <v>4326</v>
      </c>
      <c r="L56" s="232">
        <f t="shared" si="1"/>
        <v>51912</v>
      </c>
      <c r="M56" s="162"/>
    </row>
    <row r="57" spans="2:13" ht="30" customHeight="1">
      <c r="B57" s="162">
        <v>50</v>
      </c>
      <c r="C57" s="162" t="s">
        <v>740</v>
      </c>
      <c r="D57" s="162"/>
      <c r="E57" s="162" t="s">
        <v>706</v>
      </c>
      <c r="F57" s="162"/>
      <c r="G57" s="162"/>
      <c r="H57" s="340"/>
      <c r="I57" s="268">
        <v>4326</v>
      </c>
      <c r="J57" s="268"/>
      <c r="K57" s="232">
        <f>I57-J57</f>
        <v>4326</v>
      </c>
      <c r="L57" s="232">
        <f t="shared" si="1"/>
        <v>51912</v>
      </c>
      <c r="M57" s="162"/>
    </row>
    <row r="58" spans="2:13" ht="30" customHeight="1">
      <c r="B58" s="162">
        <v>51</v>
      </c>
      <c r="C58" s="162" t="s">
        <v>718</v>
      </c>
      <c r="D58" s="162"/>
      <c r="E58" s="162" t="s">
        <v>719</v>
      </c>
      <c r="F58" s="162"/>
      <c r="G58" s="162"/>
      <c r="H58" s="340"/>
      <c r="I58" s="268">
        <v>3300</v>
      </c>
      <c r="J58" s="268"/>
      <c r="K58" s="232">
        <f>I58-J58</f>
        <v>3300</v>
      </c>
      <c r="L58" s="232">
        <f t="shared" si="1"/>
        <v>39600</v>
      </c>
      <c r="M58" s="162"/>
    </row>
    <row r="59" spans="2:13" ht="30" customHeight="1">
      <c r="B59" s="162">
        <v>52</v>
      </c>
      <c r="C59" s="162" t="s">
        <v>737</v>
      </c>
      <c r="D59" s="162"/>
      <c r="E59" s="162" t="s">
        <v>738</v>
      </c>
      <c r="F59" s="162"/>
      <c r="G59" s="162"/>
      <c r="H59" s="340"/>
      <c r="I59" s="268">
        <v>1760</v>
      </c>
      <c r="J59" s="268"/>
      <c r="K59" s="232">
        <f>I59-J59</f>
        <v>1760</v>
      </c>
      <c r="L59" s="232">
        <f t="shared" si="1"/>
        <v>21120</v>
      </c>
      <c r="M59" s="162"/>
    </row>
    <row r="60" spans="2:13" ht="30" customHeight="1">
      <c r="B60" s="162">
        <v>53</v>
      </c>
      <c r="C60" s="162" t="s">
        <v>742</v>
      </c>
      <c r="D60" s="162"/>
      <c r="E60" s="162" t="s">
        <v>743</v>
      </c>
      <c r="F60" s="162"/>
      <c r="G60" s="162"/>
      <c r="H60" s="340"/>
      <c r="I60" s="268">
        <v>3818</v>
      </c>
      <c r="J60" s="268"/>
      <c r="K60" s="232">
        <f>I60</f>
        <v>3818</v>
      </c>
      <c r="L60" s="232">
        <f t="shared" si="1"/>
        <v>45816</v>
      </c>
      <c r="M60" s="162"/>
    </row>
    <row r="61" spans="2:13" ht="30" customHeight="1">
      <c r="B61" s="162">
        <v>54</v>
      </c>
      <c r="C61" s="162" t="s">
        <v>739</v>
      </c>
      <c r="D61" s="162"/>
      <c r="E61" s="162" t="s">
        <v>741</v>
      </c>
      <c r="F61" s="162"/>
      <c r="G61" s="162"/>
      <c r="H61" s="340"/>
      <c r="I61" s="268">
        <v>2595.6</v>
      </c>
      <c r="J61" s="268"/>
      <c r="K61" s="232">
        <f>I61</f>
        <v>2595.6</v>
      </c>
      <c r="L61" s="232">
        <f t="shared" si="1"/>
        <v>31147.199999999997</v>
      </c>
      <c r="M61" s="162"/>
    </row>
    <row r="62" spans="2:13" ht="30" customHeight="1">
      <c r="F62" s="584" t="s">
        <v>52</v>
      </c>
      <c r="G62" s="585" t="s">
        <v>52</v>
      </c>
      <c r="H62" s="586"/>
      <c r="I62" s="587">
        <f>SUM(I9:I61)</f>
        <v>183877.6</v>
      </c>
      <c r="J62" s="587">
        <f>SUM(J9:J53)</f>
        <v>0</v>
      </c>
      <c r="K62" s="588">
        <f>SUM(K9:K61)</f>
        <v>183877.6</v>
      </c>
      <c r="L62" s="599">
        <f>SUM(L9:L61)</f>
        <v>2206531.2000000002</v>
      </c>
    </row>
    <row r="63" spans="2:13" ht="17.25" customHeight="1">
      <c r="H63" s="341"/>
      <c r="I63" s="269"/>
      <c r="J63" s="269"/>
      <c r="K63" s="233"/>
      <c r="L63" s="233"/>
    </row>
    <row r="64" spans="2:13" ht="30" customHeight="1">
      <c r="B64" s="162">
        <v>55</v>
      </c>
      <c r="C64" s="162" t="s">
        <v>499</v>
      </c>
      <c r="D64" s="162"/>
      <c r="E64" s="162" t="s">
        <v>500</v>
      </c>
      <c r="F64" s="162" t="s">
        <v>501</v>
      </c>
      <c r="G64" s="162" t="e">
        <f>G11</f>
        <v>#REF!</v>
      </c>
      <c r="H64" s="339">
        <f>2206/2</f>
        <v>1103</v>
      </c>
      <c r="I64" s="268">
        <v>1147</v>
      </c>
      <c r="J64" s="266"/>
      <c r="K64" s="232">
        <f>I64-J64</f>
        <v>1147</v>
      </c>
      <c r="L64" s="232">
        <f t="shared" ref="L64:L68" si="6">K64*12</f>
        <v>13764</v>
      </c>
      <c r="M64" s="162"/>
    </row>
    <row r="65" spans="2:13" ht="30" customHeight="1">
      <c r="B65" s="162">
        <v>56</v>
      </c>
      <c r="C65" s="162" t="s">
        <v>561</v>
      </c>
      <c r="D65" s="162" t="s">
        <v>502</v>
      </c>
      <c r="E65" s="162" t="s">
        <v>503</v>
      </c>
      <c r="F65" s="162" t="s">
        <v>451</v>
      </c>
      <c r="G65" s="162" t="e">
        <f>G16</f>
        <v>#REF!</v>
      </c>
      <c r="H65" s="339">
        <f>2310/2</f>
        <v>1155</v>
      </c>
      <c r="I65" s="268">
        <v>1201</v>
      </c>
      <c r="J65" s="266"/>
      <c r="K65" s="232">
        <f t="shared" ref="K65:K68" si="7">I65-J65</f>
        <v>1201</v>
      </c>
      <c r="L65" s="232">
        <f t="shared" si="6"/>
        <v>14412</v>
      </c>
      <c r="M65" s="162"/>
    </row>
    <row r="66" spans="2:13" ht="30" customHeight="1">
      <c r="B66" s="162">
        <v>57</v>
      </c>
      <c r="C66" s="162" t="s">
        <v>600</v>
      </c>
      <c r="D66" s="162" t="s">
        <v>504</v>
      </c>
      <c r="E66" s="162" t="s">
        <v>503</v>
      </c>
      <c r="F66" s="162" t="s">
        <v>451</v>
      </c>
      <c r="G66" s="162" t="e">
        <f>G65</f>
        <v>#REF!</v>
      </c>
      <c r="H66" s="339">
        <f>2310/2</f>
        <v>1155</v>
      </c>
      <c r="I66" s="268">
        <v>1201</v>
      </c>
      <c r="J66" s="266"/>
      <c r="K66" s="232">
        <f t="shared" si="7"/>
        <v>1201</v>
      </c>
      <c r="L66" s="232">
        <f t="shared" si="6"/>
        <v>14412</v>
      </c>
      <c r="M66" s="162"/>
    </row>
    <row r="67" spans="2:13" ht="30" customHeight="1">
      <c r="B67" s="162">
        <v>58</v>
      </c>
      <c r="C67" s="162" t="s">
        <v>505</v>
      </c>
      <c r="D67" s="162" t="s">
        <v>506</v>
      </c>
      <c r="E67" s="162" t="s">
        <v>507</v>
      </c>
      <c r="F67" s="162"/>
      <c r="G67" s="162" t="e">
        <f>#REF!</f>
        <v>#REF!</v>
      </c>
      <c r="H67" s="339">
        <f>2100/2</f>
        <v>1050</v>
      </c>
      <c r="I67" s="268">
        <v>1092</v>
      </c>
      <c r="J67" s="266"/>
      <c r="K67" s="232">
        <f t="shared" si="7"/>
        <v>1092</v>
      </c>
      <c r="L67" s="232">
        <f t="shared" si="6"/>
        <v>13104</v>
      </c>
      <c r="M67" s="162"/>
    </row>
    <row r="68" spans="2:13" ht="30" customHeight="1">
      <c r="B68" s="162">
        <v>59</v>
      </c>
      <c r="C68" s="162" t="s">
        <v>432</v>
      </c>
      <c r="D68" s="162" t="s">
        <v>508</v>
      </c>
      <c r="E68" s="162" t="s">
        <v>509</v>
      </c>
      <c r="F68" s="162" t="s">
        <v>496</v>
      </c>
      <c r="G68" s="162" t="e">
        <f>#REF!</f>
        <v>#REF!</v>
      </c>
      <c r="H68" s="339">
        <f>2142/2</f>
        <v>1071</v>
      </c>
      <c r="I68" s="268">
        <v>1114</v>
      </c>
      <c r="J68" s="266"/>
      <c r="K68" s="232">
        <f t="shared" si="7"/>
        <v>1114</v>
      </c>
      <c r="L68" s="232">
        <f t="shared" si="6"/>
        <v>13368</v>
      </c>
      <c r="M68" s="162"/>
    </row>
    <row r="69" spans="2:13" ht="30" customHeight="1">
      <c r="F69" s="562" t="s">
        <v>510</v>
      </c>
      <c r="G69" s="563" t="s">
        <v>52</v>
      </c>
      <c r="H69" s="564"/>
      <c r="I69" s="565">
        <f>SUM(I64:I68)</f>
        <v>5755</v>
      </c>
      <c r="J69" s="565">
        <f>SUM(J64:J68)</f>
        <v>0</v>
      </c>
      <c r="K69" s="566">
        <f>SUM(K64:K68)</f>
        <v>5755</v>
      </c>
      <c r="L69" s="599">
        <f>SUM(L64:L68)</f>
        <v>69060</v>
      </c>
    </row>
    <row r="70" spans="2:13" ht="13.5" customHeight="1" thickBot="1">
      <c r="B70" s="222"/>
      <c r="C70" s="222"/>
      <c r="D70" s="222"/>
      <c r="E70" s="222"/>
      <c r="F70" s="234"/>
      <c r="G70" s="234"/>
      <c r="H70" s="342"/>
      <c r="I70" s="270"/>
      <c r="J70" s="270"/>
      <c r="K70" s="235"/>
      <c r="L70" s="600"/>
      <c r="M70" s="222"/>
    </row>
    <row r="71" spans="2:13" ht="25.5" customHeight="1" thickTop="1">
      <c r="F71" s="557" t="s">
        <v>52</v>
      </c>
      <c r="G71" s="558" t="s">
        <v>52</v>
      </c>
      <c r="H71" s="559"/>
      <c r="I71" s="560">
        <f>I62+I69</f>
        <v>189632.6</v>
      </c>
      <c r="J71" s="561">
        <f>SUM(J62+J69)</f>
        <v>0</v>
      </c>
      <c r="K71" s="483">
        <f>SUM(K62+K69)</f>
        <v>189632.6</v>
      </c>
      <c r="L71" s="601"/>
    </row>
    <row r="72" spans="2:13">
      <c r="H72" s="341"/>
      <c r="I72" s="269"/>
      <c r="J72" s="269"/>
      <c r="K72" s="233"/>
      <c r="L72" s="233"/>
    </row>
    <row r="73" spans="2:13">
      <c r="H73" s="341"/>
      <c r="I73" s="269"/>
      <c r="J73" s="269"/>
      <c r="K73" s="233"/>
      <c r="L73" s="233"/>
    </row>
    <row r="74" spans="2:13">
      <c r="C74" s="202"/>
      <c r="H74" s="341"/>
      <c r="I74" s="269"/>
      <c r="J74" s="269"/>
      <c r="K74" s="233"/>
      <c r="L74" s="233"/>
    </row>
    <row r="75" spans="2:13">
      <c r="H75" s="341"/>
      <c r="I75" s="269"/>
      <c r="J75" s="269"/>
      <c r="K75" s="233"/>
      <c r="L75" s="233"/>
    </row>
    <row r="76" spans="2:13">
      <c r="H76" s="341"/>
      <c r="I76" s="269"/>
      <c r="J76" s="269"/>
      <c r="K76" s="233"/>
      <c r="L76" s="233"/>
    </row>
    <row r="80" spans="2:13">
      <c r="K80" s="227" t="e">
        <f>K71-#REF!</f>
        <v>#REF!</v>
      </c>
    </row>
  </sheetData>
  <mergeCells count="3">
    <mergeCell ref="C2:M2"/>
    <mergeCell ref="C3:M3"/>
    <mergeCell ref="D5:J5"/>
  </mergeCells>
  <pageMargins left="0.82677165354330717" right="0.23622047244094491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REGIDORES</vt:lpstr>
      <vt:lpstr>BASE</vt:lpstr>
      <vt:lpstr>SEGU-PBCA</vt:lpstr>
      <vt:lpstr>P-CIVIL</vt:lpstr>
      <vt:lpstr>NOMINA TRAB.EVENTUALES</vt:lpstr>
      <vt:lpstr>PAGO SEMANAL</vt:lpstr>
      <vt:lpstr>PENSION POR JUBILACION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'CASA DE CULTURA 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'PENSION POR JUBILACION'!Área_de_impresión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2021-06-15T14:58:01Z</cp:lastPrinted>
  <dcterms:created xsi:type="dcterms:W3CDTF">2018-09-24T18:29:12Z</dcterms:created>
  <dcterms:modified xsi:type="dcterms:W3CDTF">2023-08-09T20:17:03Z</dcterms:modified>
</cp:coreProperties>
</file>